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vmdata\userredirects\kmiller\Documents\"/>
    </mc:Choice>
  </mc:AlternateContent>
  <xr:revisionPtr revIDLastSave="0" documentId="14_{D8A7E2A4-33DF-46AA-89E5-EB523219724E}" xr6:coauthVersionLast="46" xr6:coauthVersionMax="46" xr10:uidLastSave="{00000000-0000-0000-0000-000000000000}"/>
  <bookViews>
    <workbookView xWindow="-120" yWindow="-120" windowWidth="29040" windowHeight="15840" tabRatio="728" xr2:uid="{0B22DF25-7739-4A7C-A6B9-6A4574BDA6C6}"/>
  </bookViews>
  <sheets>
    <sheet name="Budget Cover" sheetId="14" r:id="rId1"/>
    <sheet name="Budget Summary" sheetId="7" r:id="rId2"/>
    <sheet name="Property Tax" sheetId="6" r:id="rId3"/>
    <sheet name="Fund Balance" sheetId="8" r:id="rId4"/>
    <sheet name="Debt Service" sheetId="9" r:id="rId5"/>
    <sheet name="Budget Graphic Revenue" sheetId="15" r:id="rId6"/>
    <sheet name="Revenue" sheetId="2" r:id="rId7"/>
    <sheet name="Budget Graphic Expenses" sheetId="12" r:id="rId8"/>
    <sheet name="Expenses" sheetId="1" r:id="rId9"/>
    <sheet name="Capital Plan" sheetId="3" r:id="rId10"/>
    <sheet name="Salary and Benefits Master" sheetId="4" state="hidden" r:id="rId11"/>
    <sheet name="Salary Breakouts" sheetId="5" state="hidden" r:id="rId12"/>
    <sheet name="Sheet1" sheetId="16" state="hidden" r:id="rId13"/>
    <sheet name="Utilities Breakout" sheetId="10" state="hidden" r:id="rId14"/>
    <sheet name="Sheet3" sheetId="11" state="hidden" r:id="rId15"/>
  </sheets>
  <externalReferences>
    <externalReference r:id="rId1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3" l="1"/>
  <c r="H26" i="3"/>
  <c r="H25" i="3"/>
  <c r="H24" i="3"/>
  <c r="H23" i="3"/>
  <c r="H22" i="3"/>
  <c r="H21" i="3"/>
  <c r="H13" i="3"/>
  <c r="H15" i="3"/>
  <c r="H28" i="3"/>
  <c r="H30" i="3"/>
  <c r="G30" i="3"/>
  <c r="F30" i="3"/>
  <c r="E30" i="3"/>
  <c r="D30" i="3"/>
  <c r="C30" i="3"/>
  <c r="G28" i="3"/>
  <c r="F28" i="3"/>
  <c r="E28" i="3"/>
  <c r="D28" i="3"/>
  <c r="C28" i="3"/>
  <c r="H38" i="2"/>
  <c r="I340" i="1"/>
  <c r="I348" i="1"/>
  <c r="I419" i="1"/>
  <c r="I397" i="1"/>
  <c r="I406" i="1"/>
  <c r="H406" i="1"/>
  <c r="D23" i="16"/>
  <c r="E23" i="16" s="1"/>
  <c r="D28" i="16"/>
  <c r="E28" i="16" s="1"/>
  <c r="F28" i="16" s="1"/>
  <c r="D27" i="16"/>
  <c r="E27" i="16" s="1"/>
  <c r="F27" i="16" s="1"/>
  <c r="D26" i="16"/>
  <c r="E26" i="16" s="1"/>
  <c r="F26" i="16" s="1"/>
  <c r="D25" i="16"/>
  <c r="E25" i="16" s="1"/>
  <c r="F25" i="16" s="1"/>
  <c r="D24" i="16"/>
  <c r="E24" i="16" s="1"/>
  <c r="F24" i="16" s="1"/>
  <c r="I20" i="16"/>
  <c r="Y70" i="5"/>
  <c r="Y69" i="5"/>
  <c r="Y68" i="5"/>
  <c r="Y67" i="5"/>
  <c r="Y66" i="5"/>
  <c r="Y65" i="5"/>
  <c r="S69" i="5"/>
  <c r="S68" i="5"/>
  <c r="S67" i="5"/>
  <c r="S66" i="5"/>
  <c r="S65" i="5"/>
  <c r="S64" i="5"/>
  <c r="R66" i="5"/>
  <c r="R67" i="5" s="1"/>
  <c r="R68" i="5" s="1"/>
  <c r="R69" i="5" s="1"/>
  <c r="Q66" i="5"/>
  <c r="Q67" i="5" s="1"/>
  <c r="Q68" i="5" s="1"/>
  <c r="Q69" i="5" s="1"/>
  <c r="P66" i="5"/>
  <c r="P67" i="5" s="1"/>
  <c r="P68" i="5" s="1"/>
  <c r="P69" i="5" s="1"/>
  <c r="R65" i="5"/>
  <c r="Q65" i="5"/>
  <c r="P65" i="5"/>
  <c r="M66" i="5"/>
  <c r="M67" i="5" s="1"/>
  <c r="M68" i="5" s="1"/>
  <c r="M69" i="5" s="1"/>
  <c r="M65" i="5"/>
  <c r="Y62" i="5"/>
  <c r="Y61" i="5"/>
  <c r="Y60" i="5"/>
  <c r="Y59" i="5"/>
  <c r="Y58" i="5"/>
  <c r="Y57" i="5"/>
  <c r="S61" i="5"/>
  <c r="S60" i="5"/>
  <c r="S59" i="5"/>
  <c r="S58" i="5"/>
  <c r="R58" i="5"/>
  <c r="R59" i="5" s="1"/>
  <c r="R60" i="5" s="1"/>
  <c r="R61" i="5" s="1"/>
  <c r="Q58" i="5"/>
  <c r="Q59" i="5" s="1"/>
  <c r="Q60" i="5" s="1"/>
  <c r="Q61" i="5" s="1"/>
  <c r="P58" i="5"/>
  <c r="P59" i="5" s="1"/>
  <c r="P60" i="5" s="1"/>
  <c r="P61" i="5" s="1"/>
  <c r="M58" i="5"/>
  <c r="M59" i="5" s="1"/>
  <c r="M60" i="5" s="1"/>
  <c r="M61" i="5" s="1"/>
  <c r="S57" i="5"/>
  <c r="R57" i="5"/>
  <c r="Q57" i="5"/>
  <c r="P57" i="5"/>
  <c r="M57" i="5"/>
  <c r="S56" i="5"/>
  <c r="M56" i="5"/>
  <c r="N56" i="5"/>
  <c r="O56" i="5"/>
  <c r="P56" i="5"/>
  <c r="Q56" i="5"/>
  <c r="R56" i="5"/>
  <c r="U17" i="9"/>
  <c r="B11" i="15"/>
  <c r="B10" i="15"/>
  <c r="B9" i="15"/>
  <c r="B8" i="15"/>
  <c r="B5" i="15"/>
  <c r="B4" i="15"/>
  <c r="B3" i="15"/>
  <c r="N146" i="4" l="1"/>
  <c r="N147" i="4"/>
  <c r="H20" i="3"/>
  <c r="H19" i="3"/>
  <c r="H18" i="3"/>
  <c r="F36" i="7"/>
  <c r="F36" i="8"/>
  <c r="E36" i="8"/>
  <c r="E35" i="8"/>
  <c r="E33" i="8"/>
  <c r="F33" i="8" s="1"/>
  <c r="E32" i="8"/>
  <c r="H414" i="1"/>
  <c r="H397" i="1"/>
  <c r="H380" i="1"/>
  <c r="H373" i="1"/>
  <c r="H365" i="1"/>
  <c r="H357" i="1"/>
  <c r="H351" i="1"/>
  <c r="H340" i="1"/>
  <c r="H333" i="1"/>
  <c r="H315" i="1"/>
  <c r="H300" i="1"/>
  <c r="H290" i="1"/>
  <c r="H275" i="1"/>
  <c r="H270" i="1"/>
  <c r="H266" i="1"/>
  <c r="H264" i="1"/>
  <c r="H260" i="1"/>
  <c r="H242" i="1"/>
  <c r="H233" i="1"/>
  <c r="H225" i="1"/>
  <c r="H215" i="1"/>
  <c r="H205" i="1"/>
  <c r="H195" i="1"/>
  <c r="H161" i="1"/>
  <c r="H151" i="1"/>
  <c r="H144" i="1"/>
  <c r="H106" i="1"/>
  <c r="H100" i="1"/>
  <c r="H95" i="1"/>
  <c r="H81" i="1"/>
  <c r="H72" i="1"/>
  <c r="H60" i="1"/>
  <c r="H52" i="1"/>
  <c r="H37" i="1"/>
  <c r="H26" i="1"/>
  <c r="G95" i="2"/>
  <c r="G86" i="2"/>
  <c r="G62" i="2"/>
  <c r="G56" i="2"/>
  <c r="B7" i="15" s="1"/>
  <c r="G38" i="2"/>
  <c r="B6" i="15" s="1"/>
  <c r="G19" i="2"/>
  <c r="G11" i="2"/>
  <c r="H263" i="1"/>
  <c r="H262" i="1"/>
  <c r="H261" i="1"/>
  <c r="B9" i="12" l="1"/>
  <c r="D29" i="7"/>
  <c r="G13" i="3"/>
  <c r="F13" i="3"/>
  <c r="E13" i="3"/>
  <c r="D13" i="3"/>
  <c r="C13" i="3"/>
  <c r="H12" i="3"/>
  <c r="H17" i="3"/>
  <c r="H16" i="3"/>
  <c r="H11" i="3"/>
  <c r="H10" i="3"/>
  <c r="H9" i="3"/>
  <c r="H8" i="3"/>
  <c r="H4" i="3"/>
  <c r="H3" i="3"/>
  <c r="G5" i="3"/>
  <c r="F5" i="3"/>
  <c r="E5" i="3"/>
  <c r="D5" i="3"/>
  <c r="C5" i="3"/>
  <c r="G397" i="1"/>
  <c r="E397" i="1"/>
  <c r="J397" i="1"/>
  <c r="F38" i="2"/>
  <c r="G419" i="1"/>
  <c r="E340" i="1"/>
  <c r="G406" i="1"/>
  <c r="R136" i="4"/>
  <c r="J3" i="4"/>
  <c r="N3" i="4" s="1"/>
  <c r="M3" i="4"/>
  <c r="T3" i="4"/>
  <c r="U3" i="4" s="1"/>
  <c r="J4" i="4"/>
  <c r="M4" i="4"/>
  <c r="T4" i="4"/>
  <c r="U4" i="4" s="1"/>
  <c r="J5" i="4"/>
  <c r="M5" i="4"/>
  <c r="T5" i="4"/>
  <c r="U5" i="4"/>
  <c r="J6" i="4"/>
  <c r="M6" i="4"/>
  <c r="T6" i="4"/>
  <c r="U6" i="4" s="1"/>
  <c r="J7" i="4"/>
  <c r="M7" i="4"/>
  <c r="N7" i="4"/>
  <c r="T7" i="4"/>
  <c r="U7" i="4"/>
  <c r="J8" i="4"/>
  <c r="N8" i="4" s="1"/>
  <c r="M8" i="4"/>
  <c r="T8" i="4"/>
  <c r="U8" i="4"/>
  <c r="J9" i="4"/>
  <c r="M9" i="4"/>
  <c r="T9" i="4"/>
  <c r="U9" i="4" s="1"/>
  <c r="J10" i="4"/>
  <c r="M10" i="4"/>
  <c r="T10" i="4"/>
  <c r="U10" i="4"/>
  <c r="J11" i="4"/>
  <c r="M11" i="4"/>
  <c r="T11" i="4"/>
  <c r="U11" i="4" s="1"/>
  <c r="J12" i="4"/>
  <c r="M12" i="4"/>
  <c r="T12" i="4"/>
  <c r="U12" i="4"/>
  <c r="J13" i="4"/>
  <c r="M13" i="4"/>
  <c r="T13" i="4"/>
  <c r="U13" i="4" s="1"/>
  <c r="V13" i="4"/>
  <c r="J14" i="4"/>
  <c r="M14" i="4"/>
  <c r="T14" i="4"/>
  <c r="U14" i="4" s="1"/>
  <c r="V14" i="4"/>
  <c r="J15" i="4"/>
  <c r="M15" i="4"/>
  <c r="T15" i="4"/>
  <c r="U15" i="4" s="1"/>
  <c r="V15" i="4"/>
  <c r="J16" i="4"/>
  <c r="M16" i="4"/>
  <c r="T16" i="4"/>
  <c r="U16" i="4" s="1"/>
  <c r="V16" i="4"/>
  <c r="J17" i="4"/>
  <c r="M17" i="4"/>
  <c r="T17" i="4"/>
  <c r="U17" i="4" s="1"/>
  <c r="V17" i="4"/>
  <c r="J18" i="4"/>
  <c r="M18" i="4"/>
  <c r="T18" i="4"/>
  <c r="U18" i="4" s="1"/>
  <c r="V18" i="4"/>
  <c r="J19" i="4"/>
  <c r="M19" i="4"/>
  <c r="T19" i="4"/>
  <c r="U19" i="4" s="1"/>
  <c r="V19" i="4"/>
  <c r="J20" i="4"/>
  <c r="M20" i="4"/>
  <c r="T20" i="4"/>
  <c r="U20" i="4" s="1"/>
  <c r="V20" i="4"/>
  <c r="J21" i="4"/>
  <c r="M21" i="4"/>
  <c r="T21" i="4"/>
  <c r="U21" i="4" s="1"/>
  <c r="V21" i="4"/>
  <c r="J22" i="4"/>
  <c r="M22" i="4"/>
  <c r="T22" i="4"/>
  <c r="U22" i="4" s="1"/>
  <c r="V22" i="4"/>
  <c r="J23" i="4"/>
  <c r="M23" i="4"/>
  <c r="T23" i="4"/>
  <c r="U23" i="4" s="1"/>
  <c r="V23" i="4"/>
  <c r="J24" i="4"/>
  <c r="M24" i="4"/>
  <c r="T24" i="4"/>
  <c r="U24" i="4" s="1"/>
  <c r="V24" i="4"/>
  <c r="J25" i="4"/>
  <c r="M25" i="4"/>
  <c r="T25" i="4"/>
  <c r="U25" i="4" s="1"/>
  <c r="V25" i="4"/>
  <c r="J26" i="4"/>
  <c r="M26" i="4"/>
  <c r="T26" i="4"/>
  <c r="U26" i="4" s="1"/>
  <c r="V26" i="4"/>
  <c r="J27" i="4"/>
  <c r="M27" i="4"/>
  <c r="T27" i="4"/>
  <c r="U27" i="4" s="1"/>
  <c r="V27" i="4"/>
  <c r="J28" i="4"/>
  <c r="M28" i="4"/>
  <c r="T28" i="4"/>
  <c r="U28" i="4" s="1"/>
  <c r="V28" i="4"/>
  <c r="J29" i="4"/>
  <c r="M29" i="4"/>
  <c r="T29" i="4"/>
  <c r="U29" i="4" s="1"/>
  <c r="V29" i="4"/>
  <c r="J30" i="4"/>
  <c r="M30" i="4"/>
  <c r="T30" i="4"/>
  <c r="U30" i="4"/>
  <c r="V30" i="4"/>
  <c r="J31" i="4"/>
  <c r="N31" i="4" s="1"/>
  <c r="S31" i="4" s="1"/>
  <c r="M31" i="4"/>
  <c r="T31" i="4"/>
  <c r="U31" i="4"/>
  <c r="V31" i="4"/>
  <c r="J32" i="4"/>
  <c r="M32" i="4"/>
  <c r="T32" i="4"/>
  <c r="U32" i="4"/>
  <c r="V32" i="4"/>
  <c r="J33" i="4"/>
  <c r="M33" i="4"/>
  <c r="T33" i="4"/>
  <c r="U33" i="4"/>
  <c r="V33" i="4"/>
  <c r="J34" i="4"/>
  <c r="M34" i="4"/>
  <c r="T34" i="4"/>
  <c r="U34" i="4"/>
  <c r="N35" i="4"/>
  <c r="O35" i="4" s="1"/>
  <c r="P35" i="4" s="1"/>
  <c r="T35" i="4"/>
  <c r="U35" i="4"/>
  <c r="J36" i="4"/>
  <c r="N36" i="4" s="1"/>
  <c r="M36" i="4"/>
  <c r="T36" i="4"/>
  <c r="U36" i="4" s="1"/>
  <c r="N37" i="4"/>
  <c r="O37" i="4" s="1"/>
  <c r="P37" i="4" s="1"/>
  <c r="Q37" i="4"/>
  <c r="T37" i="4"/>
  <c r="U37" i="4" s="1"/>
  <c r="J38" i="4"/>
  <c r="N38" i="4" s="1"/>
  <c r="M38" i="4"/>
  <c r="T38" i="4"/>
  <c r="U38" i="4"/>
  <c r="J39" i="4"/>
  <c r="N39" i="4" s="1"/>
  <c r="S39" i="4" s="1"/>
  <c r="M39" i="4"/>
  <c r="U39" i="4"/>
  <c r="J40" i="4"/>
  <c r="M40" i="4"/>
  <c r="N40" i="4"/>
  <c r="T40" i="4"/>
  <c r="U40" i="4"/>
  <c r="J41" i="4"/>
  <c r="M41" i="4"/>
  <c r="N41" i="4"/>
  <c r="R41" i="4" s="1"/>
  <c r="O41" i="4"/>
  <c r="P41" i="4" s="1"/>
  <c r="Z41" i="4" s="1"/>
  <c r="S41" i="4"/>
  <c r="U41" i="4"/>
  <c r="J42" i="4"/>
  <c r="M42" i="4"/>
  <c r="T42" i="4"/>
  <c r="U42" i="4"/>
  <c r="J43" i="4"/>
  <c r="M43" i="4"/>
  <c r="T43" i="4"/>
  <c r="U43" i="4" s="1"/>
  <c r="J44" i="4"/>
  <c r="M44" i="4"/>
  <c r="T44" i="4"/>
  <c r="U44" i="4"/>
  <c r="J45" i="4"/>
  <c r="M45" i="4"/>
  <c r="N45" i="4"/>
  <c r="T45" i="4"/>
  <c r="U45" i="4" s="1"/>
  <c r="J46" i="4"/>
  <c r="N46" i="4" s="1"/>
  <c r="M46" i="4"/>
  <c r="T46" i="4"/>
  <c r="U46" i="4"/>
  <c r="J47" i="4"/>
  <c r="M47" i="4"/>
  <c r="N47" i="4" s="1"/>
  <c r="T47" i="4"/>
  <c r="U47" i="4"/>
  <c r="N48" i="4"/>
  <c r="O48" i="4" s="1"/>
  <c r="P48" i="4" s="1"/>
  <c r="Q48" i="4"/>
  <c r="R48" i="4"/>
  <c r="S48" i="4"/>
  <c r="T48" i="4"/>
  <c r="U48" i="4"/>
  <c r="J49" i="4"/>
  <c r="N49" i="4" s="1"/>
  <c r="O49" i="4" s="1"/>
  <c r="P49" i="4" s="1"/>
  <c r="M49" i="4"/>
  <c r="T49" i="4"/>
  <c r="U49" i="4" s="1"/>
  <c r="AH50" i="4"/>
  <c r="AH52" i="4"/>
  <c r="AH53" i="4"/>
  <c r="O54" i="4"/>
  <c r="P54" i="4" s="1"/>
  <c r="Z54" i="4" s="1"/>
  <c r="AH54" i="4" s="1"/>
  <c r="Q54" i="4"/>
  <c r="R54" i="4"/>
  <c r="S54" i="4"/>
  <c r="T54" i="4"/>
  <c r="O55" i="4"/>
  <c r="P55" i="4"/>
  <c r="Z55" i="4" s="1"/>
  <c r="Q55" i="4"/>
  <c r="R55" i="4"/>
  <c r="S55" i="4"/>
  <c r="U55" i="4"/>
  <c r="V55" i="4"/>
  <c r="AF55" i="4"/>
  <c r="O56" i="4"/>
  <c r="P56" i="4" s="1"/>
  <c r="Z56" i="4" s="1"/>
  <c r="AH56" i="4" s="1"/>
  <c r="Q56" i="4"/>
  <c r="R56" i="4"/>
  <c r="S56" i="4"/>
  <c r="O57" i="4"/>
  <c r="P57" i="4"/>
  <c r="AB57" i="4" s="1"/>
  <c r="Q57" i="4"/>
  <c r="R57" i="4"/>
  <c r="S57" i="4"/>
  <c r="U57" i="4"/>
  <c r="V57" i="4"/>
  <c r="O58" i="4"/>
  <c r="P58" i="4" s="1"/>
  <c r="Q58" i="4"/>
  <c r="R58" i="4"/>
  <c r="S58" i="4"/>
  <c r="U58" i="4"/>
  <c r="V58" i="4"/>
  <c r="O59" i="4"/>
  <c r="P59" i="4" s="1"/>
  <c r="Z59" i="4" s="1"/>
  <c r="Q59" i="4"/>
  <c r="R59" i="4"/>
  <c r="S59" i="4"/>
  <c r="U59" i="4"/>
  <c r="V59" i="4"/>
  <c r="O60" i="4"/>
  <c r="P60" i="4"/>
  <c r="Z60" i="4" s="1"/>
  <c r="AH60" i="4" s="1"/>
  <c r="Q60" i="4"/>
  <c r="R60" i="4"/>
  <c r="S60" i="4"/>
  <c r="U60" i="4"/>
  <c r="V60" i="4"/>
  <c r="J88" i="4"/>
  <c r="M88" i="4"/>
  <c r="J89" i="4"/>
  <c r="M89" i="4"/>
  <c r="J90" i="4"/>
  <c r="M90" i="4"/>
  <c r="J91" i="4"/>
  <c r="M91" i="4"/>
  <c r="J92" i="4"/>
  <c r="M92" i="4"/>
  <c r="J93" i="4"/>
  <c r="M93" i="4"/>
  <c r="J94" i="4"/>
  <c r="M94" i="4"/>
  <c r="M139" i="4" s="1"/>
  <c r="J95" i="4"/>
  <c r="M95" i="4"/>
  <c r="J96" i="4"/>
  <c r="M96" i="4"/>
  <c r="J97" i="4"/>
  <c r="M97" i="4"/>
  <c r="J98" i="4"/>
  <c r="M98" i="4"/>
  <c r="J99" i="4"/>
  <c r="M99" i="4"/>
  <c r="J100" i="4"/>
  <c r="M100" i="4"/>
  <c r="J103" i="4"/>
  <c r="M103" i="4"/>
  <c r="J104" i="4"/>
  <c r="M104" i="4"/>
  <c r="J105" i="4"/>
  <c r="M105" i="4"/>
  <c r="J106" i="4"/>
  <c r="M106" i="4"/>
  <c r="J107" i="4"/>
  <c r="M107" i="4"/>
  <c r="J108" i="4"/>
  <c r="M108" i="4"/>
  <c r="J109" i="4"/>
  <c r="M109" i="4"/>
  <c r="J110" i="4"/>
  <c r="M110" i="4"/>
  <c r="J111" i="4"/>
  <c r="M111" i="4"/>
  <c r="J112" i="4"/>
  <c r="M112" i="4"/>
  <c r="J113" i="4"/>
  <c r="M113" i="4"/>
  <c r="J114" i="4"/>
  <c r="M114" i="4"/>
  <c r="J115" i="4"/>
  <c r="M115" i="4"/>
  <c r="J116" i="4"/>
  <c r="M116" i="4"/>
  <c r="J117" i="4"/>
  <c r="M117" i="4"/>
  <c r="J118" i="4"/>
  <c r="M118" i="4"/>
  <c r="J119" i="4"/>
  <c r="M119" i="4"/>
  <c r="J120" i="4"/>
  <c r="M120" i="4"/>
  <c r="J121" i="4"/>
  <c r="M121" i="4"/>
  <c r="J122" i="4"/>
  <c r="M122" i="4"/>
  <c r="J123" i="4"/>
  <c r="M123" i="4"/>
  <c r="J124" i="4"/>
  <c r="M124" i="4"/>
  <c r="J125" i="4"/>
  <c r="M125" i="4"/>
  <c r="J126" i="4"/>
  <c r="M126" i="4"/>
  <c r="J127" i="4"/>
  <c r="M127" i="4"/>
  <c r="J128" i="4"/>
  <c r="M128" i="4"/>
  <c r="J129" i="4"/>
  <c r="M129" i="4"/>
  <c r="J130" i="4"/>
  <c r="M130" i="4"/>
  <c r="J131" i="4"/>
  <c r="M131" i="4"/>
  <c r="J139" i="4"/>
  <c r="U84" i="4"/>
  <c r="U85" i="4"/>
  <c r="U88" i="4"/>
  <c r="U89" i="4"/>
  <c r="U94" i="4"/>
  <c r="U95" i="4"/>
  <c r="U100" i="4"/>
  <c r="U104" i="4"/>
  <c r="U105" i="4"/>
  <c r="U106" i="4"/>
  <c r="U108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O105" i="5"/>
  <c r="N103" i="5"/>
  <c r="N102" i="5"/>
  <c r="N101" i="5"/>
  <c r="N100" i="5"/>
  <c r="N99" i="5"/>
  <c r="N97" i="5"/>
  <c r="N105" i="5" s="1"/>
  <c r="M105" i="5"/>
  <c r="I105" i="5"/>
  <c r="L103" i="5"/>
  <c r="K103" i="5"/>
  <c r="J103" i="5"/>
  <c r="L102" i="5"/>
  <c r="K102" i="5"/>
  <c r="J102" i="5"/>
  <c r="L101" i="5"/>
  <c r="K101" i="5"/>
  <c r="J101" i="5"/>
  <c r="L100" i="5"/>
  <c r="K100" i="5"/>
  <c r="J100" i="5"/>
  <c r="L99" i="5"/>
  <c r="K99" i="5"/>
  <c r="J99" i="5"/>
  <c r="L98" i="5"/>
  <c r="K98" i="5"/>
  <c r="J98" i="5"/>
  <c r="L97" i="5"/>
  <c r="K97" i="5"/>
  <c r="J97" i="5"/>
  <c r="L96" i="5"/>
  <c r="K96" i="5"/>
  <c r="J96" i="5"/>
  <c r="H5" i="3" l="1"/>
  <c r="AF58" i="4"/>
  <c r="Z58" i="4"/>
  <c r="AD58" i="4"/>
  <c r="O36" i="4"/>
  <c r="P36" i="4" s="1"/>
  <c r="AB36" i="4" s="1"/>
  <c r="Q36" i="4"/>
  <c r="R8" i="4"/>
  <c r="O8" i="4"/>
  <c r="P8" i="4" s="1"/>
  <c r="AF8" i="4" s="1"/>
  <c r="Q8" i="4"/>
  <c r="AH59" i="4"/>
  <c r="N42" i="4"/>
  <c r="Q42" i="4" s="1"/>
  <c r="AD60" i="4"/>
  <c r="N25" i="4"/>
  <c r="Q25" i="4" s="1"/>
  <c r="Q41" i="4"/>
  <c r="N21" i="4"/>
  <c r="O21" i="4" s="1"/>
  <c r="P21" i="4" s="1"/>
  <c r="N9" i="4"/>
  <c r="R9" i="4" s="1"/>
  <c r="AH41" i="4"/>
  <c r="AH55" i="4"/>
  <c r="AH58" i="4"/>
  <c r="N28" i="4"/>
  <c r="N20" i="4"/>
  <c r="N16" i="4"/>
  <c r="N6" i="4"/>
  <c r="S37" i="4"/>
  <c r="N12" i="4"/>
  <c r="S12" i="4" s="1"/>
  <c r="N5" i="4"/>
  <c r="S5" i="4" s="1"/>
  <c r="R37" i="4"/>
  <c r="Z57" i="4"/>
  <c r="AH57" i="4" s="1"/>
  <c r="AD55" i="4"/>
  <c r="N11" i="4"/>
  <c r="R11" i="4" s="1"/>
  <c r="AB55" i="4"/>
  <c r="N43" i="4"/>
  <c r="R43" i="4" s="1"/>
  <c r="N4" i="4"/>
  <c r="O4" i="4" s="1"/>
  <c r="P4" i="4" s="1"/>
  <c r="N30" i="4"/>
  <c r="S30" i="4" s="1"/>
  <c r="N26" i="4"/>
  <c r="N18" i="4"/>
  <c r="AF57" i="4"/>
  <c r="N10" i="4"/>
  <c r="Q10" i="4" s="1"/>
  <c r="Q46" i="4"/>
  <c r="R46" i="4"/>
  <c r="S46" i="4"/>
  <c r="O46" i="4"/>
  <c r="P46" i="4" s="1"/>
  <c r="AD35" i="4"/>
  <c r="AF35" i="4"/>
  <c r="AB35" i="4"/>
  <c r="Z35" i="4"/>
  <c r="AH35" i="4" s="1"/>
  <c r="Q47" i="4"/>
  <c r="R47" i="4"/>
  <c r="S47" i="4"/>
  <c r="O47" i="4"/>
  <c r="P47" i="4" s="1"/>
  <c r="AF60" i="4"/>
  <c r="AB60" i="4"/>
  <c r="Z49" i="4"/>
  <c r="AB49" i="4"/>
  <c r="AF49" i="4"/>
  <c r="AD49" i="4"/>
  <c r="O26" i="4"/>
  <c r="P26" i="4" s="1"/>
  <c r="Q26" i="4"/>
  <c r="S26" i="4"/>
  <c r="R26" i="4"/>
  <c r="O3" i="4"/>
  <c r="P3" i="4" s="1"/>
  <c r="Q3" i="4"/>
  <c r="R3" i="4"/>
  <c r="S3" i="4"/>
  <c r="O42" i="4"/>
  <c r="P42" i="4" s="1"/>
  <c r="O38" i="4"/>
  <c r="P38" i="4" s="1"/>
  <c r="Q38" i="4"/>
  <c r="N29" i="4"/>
  <c r="N13" i="4"/>
  <c r="O16" i="4"/>
  <c r="P16" i="4" s="1"/>
  <c r="Q16" i="4"/>
  <c r="R16" i="4"/>
  <c r="S16" i="4"/>
  <c r="Q6" i="4"/>
  <c r="R6" i="4"/>
  <c r="S6" i="4"/>
  <c r="O6" i="4"/>
  <c r="P6" i="4" s="1"/>
  <c r="O31" i="4"/>
  <c r="P31" i="4" s="1"/>
  <c r="R31" i="4"/>
  <c r="Q31" i="4"/>
  <c r="N19" i="4"/>
  <c r="N44" i="4"/>
  <c r="AF41" i="4"/>
  <c r="N22" i="4"/>
  <c r="S10" i="4"/>
  <c r="O10" i="4"/>
  <c r="P10" i="4" s="1"/>
  <c r="R10" i="4"/>
  <c r="AB59" i="4"/>
  <c r="AD59" i="4"/>
  <c r="U139" i="4"/>
  <c r="Q40" i="4"/>
  <c r="R40" i="4"/>
  <c r="S40" i="4"/>
  <c r="O40" i="4"/>
  <c r="P40" i="4" s="1"/>
  <c r="AF56" i="4"/>
  <c r="AB56" i="4"/>
  <c r="AD56" i="4"/>
  <c r="AD41" i="4"/>
  <c r="Q35" i="4"/>
  <c r="R35" i="4"/>
  <c r="S35" i="4"/>
  <c r="O25" i="4"/>
  <c r="P25" i="4" s="1"/>
  <c r="R25" i="4"/>
  <c r="S25" i="4"/>
  <c r="Z48" i="4"/>
  <c r="AH48" i="4" s="1"/>
  <c r="AB48" i="4"/>
  <c r="AD48" i="4"/>
  <c r="AF59" i="4"/>
  <c r="AF48" i="4"/>
  <c r="N33" i="4"/>
  <c r="AB41" i="4"/>
  <c r="O28" i="4"/>
  <c r="P28" i="4" s="1"/>
  <c r="Q28" i="4"/>
  <c r="R28" i="4"/>
  <c r="S28" i="4"/>
  <c r="AB54" i="4"/>
  <c r="AD54" i="4"/>
  <c r="AF54" i="4"/>
  <c r="Z37" i="4"/>
  <c r="AH37" i="4" s="1"/>
  <c r="AB37" i="4"/>
  <c r="AD37" i="4"/>
  <c r="AF37" i="4"/>
  <c r="N15" i="4"/>
  <c r="O12" i="4"/>
  <c r="P12" i="4" s="1"/>
  <c r="Q12" i="4"/>
  <c r="R12" i="4"/>
  <c r="O18" i="4"/>
  <c r="P18" i="4" s="1"/>
  <c r="Q18" i="4"/>
  <c r="S18" i="4"/>
  <c r="R18" i="4"/>
  <c r="N24" i="4"/>
  <c r="O45" i="4"/>
  <c r="P45" i="4" s="1"/>
  <c r="Q45" i="4"/>
  <c r="R45" i="4"/>
  <c r="S45" i="4"/>
  <c r="O39" i="4"/>
  <c r="P39" i="4" s="1"/>
  <c r="Q39" i="4"/>
  <c r="R39" i="4"/>
  <c r="N34" i="4"/>
  <c r="N27" i="4"/>
  <c r="N14" i="4"/>
  <c r="AB58" i="4"/>
  <c r="S49" i="4"/>
  <c r="R36" i="4"/>
  <c r="S36" i="4"/>
  <c r="N17" i="4"/>
  <c r="Z36" i="4"/>
  <c r="AD36" i="4"/>
  <c r="AF36" i="4"/>
  <c r="N32" i="4"/>
  <c r="O30" i="4"/>
  <c r="P30" i="4" s="1"/>
  <c r="Q30" i="4"/>
  <c r="R30" i="4"/>
  <c r="Q7" i="4"/>
  <c r="R7" i="4"/>
  <c r="S7" i="4"/>
  <c r="O7" i="4"/>
  <c r="P7" i="4" s="1"/>
  <c r="R49" i="4"/>
  <c r="S38" i="4"/>
  <c r="O20" i="4"/>
  <c r="P20" i="4" s="1"/>
  <c r="Q20" i="4"/>
  <c r="S20" i="4"/>
  <c r="R20" i="4"/>
  <c r="AB8" i="4"/>
  <c r="U81" i="4"/>
  <c r="Q49" i="4"/>
  <c r="R38" i="4"/>
  <c r="N23" i="4"/>
  <c r="Z8" i="4"/>
  <c r="AD57" i="4"/>
  <c r="S8" i="4"/>
  <c r="J105" i="5"/>
  <c r="L105" i="5"/>
  <c r="K105" i="5"/>
  <c r="S10" i="5"/>
  <c r="S9" i="5"/>
  <c r="S8" i="5"/>
  <c r="S7" i="5"/>
  <c r="S6" i="5"/>
  <c r="S5" i="5"/>
  <c r="S4" i="5"/>
  <c r="S3" i="5"/>
  <c r="S43" i="4" l="1"/>
  <c r="Q43" i="4"/>
  <c r="S21" i="4"/>
  <c r="O9" i="4"/>
  <c r="P9" i="4" s="1"/>
  <c r="O43" i="4"/>
  <c r="P43" i="4" s="1"/>
  <c r="R4" i="4"/>
  <c r="S4" i="4"/>
  <c r="Q9" i="4"/>
  <c r="R21" i="4"/>
  <c r="Q21" i="4"/>
  <c r="AD8" i="4"/>
  <c r="Q4" i="4"/>
  <c r="S11" i="4"/>
  <c r="R5" i="4"/>
  <c r="S9" i="4"/>
  <c r="Q11" i="4"/>
  <c r="Q5" i="4"/>
  <c r="S42" i="4"/>
  <c r="O11" i="4"/>
  <c r="P11" i="4" s="1"/>
  <c r="O5" i="4"/>
  <c r="P5" i="4" s="1"/>
  <c r="R42" i="4"/>
  <c r="Z20" i="4"/>
  <c r="AH20" i="4" s="1"/>
  <c r="AB20" i="4"/>
  <c r="AD20" i="4"/>
  <c r="AF20" i="4"/>
  <c r="O13" i="4"/>
  <c r="P13" i="4" s="1"/>
  <c r="Q13" i="4"/>
  <c r="R13" i="4"/>
  <c r="S13" i="4"/>
  <c r="Z21" i="4"/>
  <c r="AH21" i="4" s="1"/>
  <c r="AB21" i="4"/>
  <c r="AD21" i="4"/>
  <c r="AF21" i="4"/>
  <c r="O14" i="4"/>
  <c r="P14" i="4" s="1"/>
  <c r="Q14" i="4"/>
  <c r="S14" i="4"/>
  <c r="R14" i="4"/>
  <c r="O22" i="4"/>
  <c r="P22" i="4" s="1"/>
  <c r="Q22" i="4"/>
  <c r="S22" i="4"/>
  <c r="R22" i="4"/>
  <c r="O29" i="4"/>
  <c r="P29" i="4" s="1"/>
  <c r="Q29" i="4"/>
  <c r="S29" i="4"/>
  <c r="R29" i="4"/>
  <c r="AD7" i="4"/>
  <c r="AF7" i="4"/>
  <c r="Z7" i="4"/>
  <c r="AH7" i="4" s="1"/>
  <c r="AB7" i="4"/>
  <c r="O34" i="4"/>
  <c r="P34" i="4" s="1"/>
  <c r="Q34" i="4"/>
  <c r="R34" i="4"/>
  <c r="S34" i="4"/>
  <c r="O44" i="4"/>
  <c r="P44" i="4" s="1"/>
  <c r="R44" i="4"/>
  <c r="Q44" i="4"/>
  <c r="S44" i="4"/>
  <c r="Z38" i="4"/>
  <c r="AH38" i="4" s="1"/>
  <c r="AB38" i="4"/>
  <c r="AD38" i="4"/>
  <c r="AF38" i="4"/>
  <c r="Z28" i="4"/>
  <c r="AH28" i="4" s="1"/>
  <c r="AB28" i="4"/>
  <c r="AD28" i="4"/>
  <c r="AF28" i="4"/>
  <c r="O19" i="4"/>
  <c r="P19" i="4" s="1"/>
  <c r="Q19" i="4"/>
  <c r="R19" i="4"/>
  <c r="S19" i="4"/>
  <c r="AB6" i="4"/>
  <c r="AD6" i="4"/>
  <c r="AF6" i="4"/>
  <c r="Z6" i="4"/>
  <c r="AH6" i="4" s="1"/>
  <c r="Z30" i="4"/>
  <c r="AH30" i="4" s="1"/>
  <c r="AB30" i="4"/>
  <c r="AD30" i="4"/>
  <c r="AF30" i="4"/>
  <c r="Z18" i="4"/>
  <c r="AH18" i="4" s="1"/>
  <c r="AB18" i="4"/>
  <c r="AD18" i="4"/>
  <c r="AF18" i="4"/>
  <c r="AH49" i="4"/>
  <c r="Z11" i="4"/>
  <c r="AB11" i="4"/>
  <c r="AD11" i="4"/>
  <c r="AF11" i="4"/>
  <c r="Z5" i="4"/>
  <c r="AB5" i="4"/>
  <c r="AD5" i="4"/>
  <c r="AF5" i="4"/>
  <c r="AF47" i="4"/>
  <c r="AB47" i="4"/>
  <c r="AD47" i="4"/>
  <c r="Z47" i="4"/>
  <c r="AH47" i="4" s="1"/>
  <c r="O23" i="4"/>
  <c r="P23" i="4" s="1"/>
  <c r="Q23" i="4"/>
  <c r="R23" i="4"/>
  <c r="S23" i="4"/>
  <c r="O27" i="4"/>
  <c r="P27" i="4" s="1"/>
  <c r="Q27" i="4"/>
  <c r="R27" i="4"/>
  <c r="S27" i="4"/>
  <c r="O17" i="4"/>
  <c r="P17" i="4" s="1"/>
  <c r="Q17" i="4"/>
  <c r="R17" i="4"/>
  <c r="S17" i="4"/>
  <c r="AD39" i="4"/>
  <c r="AF39" i="4"/>
  <c r="Z39" i="4"/>
  <c r="AH39" i="4" s="1"/>
  <c r="AB39" i="4"/>
  <c r="O33" i="4"/>
  <c r="P33" i="4" s="1"/>
  <c r="R33" i="4"/>
  <c r="Q33" i="4"/>
  <c r="S33" i="4"/>
  <c r="Z42" i="4"/>
  <c r="AB42" i="4"/>
  <c r="AD42" i="4"/>
  <c r="AF42" i="4"/>
  <c r="AH8" i="4"/>
  <c r="AF40" i="4"/>
  <c r="AB40" i="4"/>
  <c r="AD40" i="4"/>
  <c r="Z40" i="4"/>
  <c r="AH40" i="4" s="1"/>
  <c r="Z31" i="4"/>
  <c r="AH31" i="4" s="1"/>
  <c r="AB31" i="4"/>
  <c r="AD31" i="4"/>
  <c r="AF31" i="4"/>
  <c r="O32" i="4"/>
  <c r="P32" i="4" s="1"/>
  <c r="Q32" i="4"/>
  <c r="R32" i="4"/>
  <c r="S32" i="4"/>
  <c r="AB45" i="4"/>
  <c r="AD45" i="4"/>
  <c r="AF45" i="4"/>
  <c r="Z45" i="4"/>
  <c r="AH45" i="4" s="1"/>
  <c r="Z3" i="4"/>
  <c r="AH3" i="4" s="1"/>
  <c r="AB3" i="4"/>
  <c r="AD3" i="4"/>
  <c r="AF3" i="4"/>
  <c r="O24" i="4"/>
  <c r="P24" i="4" s="1"/>
  <c r="Q24" i="4"/>
  <c r="S24" i="4"/>
  <c r="R24" i="4"/>
  <c r="AH36" i="4"/>
  <c r="AB46" i="4"/>
  <c r="AD46" i="4"/>
  <c r="AF46" i="4"/>
  <c r="Z46" i="4"/>
  <c r="AH46" i="4" s="1"/>
  <c r="Z12" i="4"/>
  <c r="AH12" i="4" s="1"/>
  <c r="AB12" i="4"/>
  <c r="AD12" i="4"/>
  <c r="AF12" i="4"/>
  <c r="O15" i="4"/>
  <c r="P15" i="4" s="1"/>
  <c r="Q15" i="4"/>
  <c r="R15" i="4"/>
  <c r="S15" i="4"/>
  <c r="U141" i="4"/>
  <c r="Z4" i="4"/>
  <c r="AH4" i="4" s="1"/>
  <c r="AB4" i="4"/>
  <c r="AD4" i="4"/>
  <c r="AF4" i="4"/>
  <c r="Z9" i="4"/>
  <c r="AB9" i="4"/>
  <c r="AD9" i="4"/>
  <c r="AF9" i="4"/>
  <c r="Z43" i="4"/>
  <c r="AH43" i="4" s="1"/>
  <c r="AB43" i="4"/>
  <c r="AD43" i="4"/>
  <c r="AF43" i="4"/>
  <c r="Z26" i="4"/>
  <c r="AH26" i="4" s="1"/>
  <c r="AB26" i="4"/>
  <c r="AD26" i="4"/>
  <c r="AF26" i="4"/>
  <c r="Z25" i="4"/>
  <c r="AH25" i="4" s="1"/>
  <c r="AB25" i="4"/>
  <c r="AD25" i="4"/>
  <c r="AF25" i="4"/>
  <c r="Z10" i="4"/>
  <c r="AH10" i="4" s="1"/>
  <c r="AB10" i="4"/>
  <c r="AF10" i="4"/>
  <c r="AD10" i="4"/>
  <c r="Z16" i="4"/>
  <c r="AH16" i="4" s="1"/>
  <c r="AB16" i="4"/>
  <c r="AD16" i="4"/>
  <c r="AF16" i="4"/>
  <c r="G6" i="6"/>
  <c r="G13" i="6"/>
  <c r="G12" i="6"/>
  <c r="G11" i="6"/>
  <c r="G8" i="6"/>
  <c r="G7" i="6"/>
  <c r="E14" i="6"/>
  <c r="J290" i="1"/>
  <c r="I290" i="1"/>
  <c r="J270" i="1"/>
  <c r="I270" i="1"/>
  <c r="J225" i="1"/>
  <c r="I225" i="1"/>
  <c r="J144" i="1"/>
  <c r="I144" i="1"/>
  <c r="J81" i="1"/>
  <c r="I81" i="1"/>
  <c r="X81" i="4"/>
  <c r="V128" i="4"/>
  <c r="W128" i="4" s="1"/>
  <c r="V127" i="4"/>
  <c r="W127" i="4" s="1"/>
  <c r="V126" i="4"/>
  <c r="W126" i="4" s="1"/>
  <c r="V125" i="4"/>
  <c r="W125" i="4" s="1"/>
  <c r="V124" i="4"/>
  <c r="W124" i="4" s="1"/>
  <c r="V123" i="4"/>
  <c r="W123" i="4" s="1"/>
  <c r="V122" i="4"/>
  <c r="W122" i="4" s="1"/>
  <c r="V121" i="4"/>
  <c r="W121" i="4" s="1"/>
  <c r="V120" i="4"/>
  <c r="W120" i="4" s="1"/>
  <c r="V119" i="4"/>
  <c r="W119" i="4" s="1"/>
  <c r="V118" i="4"/>
  <c r="W118" i="4" s="1"/>
  <c r="V117" i="4"/>
  <c r="W117" i="4" s="1"/>
  <c r="V116" i="4"/>
  <c r="W116" i="4" s="1"/>
  <c r="V115" i="4"/>
  <c r="W115" i="4" s="1"/>
  <c r="V114" i="4"/>
  <c r="W114" i="4" s="1"/>
  <c r="V113" i="4"/>
  <c r="W113" i="4" s="1"/>
  <c r="V112" i="4"/>
  <c r="W112" i="4" s="1"/>
  <c r="V111" i="4"/>
  <c r="W111" i="4" s="1"/>
  <c r="V108" i="4"/>
  <c r="W108" i="4" s="1"/>
  <c r="V106" i="4"/>
  <c r="W106" i="4" s="1"/>
  <c r="V105" i="4"/>
  <c r="W105" i="4" s="1"/>
  <c r="V104" i="4"/>
  <c r="W104" i="4" s="1"/>
  <c r="V100" i="4"/>
  <c r="W100" i="4" s="1"/>
  <c r="V95" i="4"/>
  <c r="W95" i="4" s="1"/>
  <c r="V94" i="4"/>
  <c r="W94" i="4" s="1"/>
  <c r="V89" i="4"/>
  <c r="W89" i="4" s="1"/>
  <c r="V88" i="4"/>
  <c r="W88" i="4" s="1"/>
  <c r="V85" i="4"/>
  <c r="W85" i="4" s="1"/>
  <c r="V84" i="4"/>
  <c r="W84" i="4" s="1"/>
  <c r="S77" i="4"/>
  <c r="S74" i="4"/>
  <c r="S73" i="4"/>
  <c r="S72" i="4"/>
  <c r="S71" i="4"/>
  <c r="S70" i="4"/>
  <c r="S69" i="4"/>
  <c r="S68" i="4"/>
  <c r="S66" i="4"/>
  <c r="S65" i="4"/>
  <c r="S64" i="4"/>
  <c r="S63" i="4"/>
  <c r="S62" i="4"/>
  <c r="AH5" i="4" l="1"/>
  <c r="AH42" i="4"/>
  <c r="AH11" i="4"/>
  <c r="AH9" i="4"/>
  <c r="Z44" i="4"/>
  <c r="AH44" i="4" s="1"/>
  <c r="AD44" i="4"/>
  <c r="AF44" i="4"/>
  <c r="AB44" i="4"/>
  <c r="Z22" i="4"/>
  <c r="AH22" i="4" s="1"/>
  <c r="AB22" i="4"/>
  <c r="AD22" i="4"/>
  <c r="AF22" i="4"/>
  <c r="Z19" i="4"/>
  <c r="AH19" i="4" s="1"/>
  <c r="AB19" i="4"/>
  <c r="AD19" i="4"/>
  <c r="AF19" i="4"/>
  <c r="Z34" i="4"/>
  <c r="AH34" i="4" s="1"/>
  <c r="AB34" i="4"/>
  <c r="AD34" i="4"/>
  <c r="AF34" i="4"/>
  <c r="Z14" i="4"/>
  <c r="AH14" i="4" s="1"/>
  <c r="AB14" i="4"/>
  <c r="AD14" i="4"/>
  <c r="AF14" i="4"/>
  <c r="Z27" i="4"/>
  <c r="AH27" i="4" s="1"/>
  <c r="AB27" i="4"/>
  <c r="AD27" i="4"/>
  <c r="AF27" i="4"/>
  <c r="Z32" i="4"/>
  <c r="AH32" i="4" s="1"/>
  <c r="AB32" i="4"/>
  <c r="AD32" i="4"/>
  <c r="AF32" i="4"/>
  <c r="Z33" i="4"/>
  <c r="AH33" i="4" s="1"/>
  <c r="AB33" i="4"/>
  <c r="AD33" i="4"/>
  <c r="AF33" i="4"/>
  <c r="Z23" i="4"/>
  <c r="AH23" i="4" s="1"/>
  <c r="AB23" i="4"/>
  <c r="AD23" i="4"/>
  <c r="AF23" i="4"/>
  <c r="Z24" i="4"/>
  <c r="AH24" i="4" s="1"/>
  <c r="AB24" i="4"/>
  <c r="AD24" i="4"/>
  <c r="AF24" i="4"/>
  <c r="Z29" i="4"/>
  <c r="AH29" i="4" s="1"/>
  <c r="AB29" i="4"/>
  <c r="AD29" i="4"/>
  <c r="AF29" i="4"/>
  <c r="Z13" i="4"/>
  <c r="AH13" i="4" s="1"/>
  <c r="AB13" i="4"/>
  <c r="AD13" i="4"/>
  <c r="AF13" i="4"/>
  <c r="Z15" i="4"/>
  <c r="AB15" i="4"/>
  <c r="AD15" i="4"/>
  <c r="AF15" i="4"/>
  <c r="Z17" i="4"/>
  <c r="AH17" i="4" s="1"/>
  <c r="AB17" i="4"/>
  <c r="AD17" i="4"/>
  <c r="AF17" i="4"/>
  <c r="W139" i="4"/>
  <c r="V139" i="4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L39" i="9"/>
  <c r="K39" i="9"/>
  <c r="J39" i="9"/>
  <c r="I39" i="9"/>
  <c r="H39" i="9"/>
  <c r="G39" i="9"/>
  <c r="F39" i="9"/>
  <c r="E39" i="9"/>
  <c r="D39" i="9"/>
  <c r="C39" i="9"/>
  <c r="M37" i="9"/>
  <c r="M36" i="9"/>
  <c r="M35" i="9"/>
  <c r="M34" i="9"/>
  <c r="M33" i="9"/>
  <c r="O33" i="9" s="1"/>
  <c r="M32" i="9"/>
  <c r="M31" i="9"/>
  <c r="O31" i="9" s="1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O17" i="9" s="1"/>
  <c r="M16" i="9"/>
  <c r="M15" i="9"/>
  <c r="O15" i="9" s="1"/>
  <c r="M14" i="9"/>
  <c r="M13" i="9"/>
  <c r="M12" i="9"/>
  <c r="M11" i="9"/>
  <c r="M10" i="9"/>
  <c r="M9" i="9"/>
  <c r="M8" i="9"/>
  <c r="M7" i="9"/>
  <c r="B14" i="9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J340" i="1"/>
  <c r="J357" i="1"/>
  <c r="I357" i="1"/>
  <c r="E357" i="1"/>
  <c r="G380" i="1"/>
  <c r="G270" i="1"/>
  <c r="D24" i="8"/>
  <c r="D14" i="8"/>
  <c r="D6" i="7"/>
  <c r="E6" i="7"/>
  <c r="F6" i="7"/>
  <c r="D2" i="7"/>
  <c r="E2" i="7"/>
  <c r="F2" i="7"/>
  <c r="J333" i="1"/>
  <c r="I333" i="1"/>
  <c r="G333" i="1"/>
  <c r="J348" i="1"/>
  <c r="J351" i="1"/>
  <c r="I351" i="1"/>
  <c r="J365" i="1"/>
  <c r="J366" i="1" s="1"/>
  <c r="F25" i="7" s="1"/>
  <c r="I365" i="1"/>
  <c r="I366" i="1" s="1"/>
  <c r="E25" i="7" s="1"/>
  <c r="H366" i="1"/>
  <c r="D25" i="7" s="1"/>
  <c r="B5" i="12" s="1"/>
  <c r="G365" i="1"/>
  <c r="G366" i="1" s="1"/>
  <c r="C25" i="7" s="1"/>
  <c r="J373" i="1"/>
  <c r="I373" i="1"/>
  <c r="G373" i="1"/>
  <c r="J380" i="1"/>
  <c r="I380" i="1"/>
  <c r="J383" i="1"/>
  <c r="I383" i="1"/>
  <c r="H383" i="1"/>
  <c r="G383" i="1"/>
  <c r="J398" i="1"/>
  <c r="F27" i="7" s="1"/>
  <c r="I398" i="1"/>
  <c r="E27" i="7" s="1"/>
  <c r="H398" i="1"/>
  <c r="D27" i="7" s="1"/>
  <c r="B7" i="12" s="1"/>
  <c r="G398" i="1"/>
  <c r="C27" i="7" s="1"/>
  <c r="J406" i="1"/>
  <c r="J414" i="1"/>
  <c r="I414" i="1"/>
  <c r="G414" i="1"/>
  <c r="J419" i="1"/>
  <c r="C29" i="7"/>
  <c r="E414" i="1"/>
  <c r="E406" i="1"/>
  <c r="E398" i="1"/>
  <c r="B27" i="7" s="1"/>
  <c r="C21" i="8" s="1"/>
  <c r="E21" i="8" s="1"/>
  <c r="E380" i="1"/>
  <c r="E373" i="1"/>
  <c r="E365" i="1"/>
  <c r="E366" i="1" s="1"/>
  <c r="B25" i="7" s="1"/>
  <c r="C19" i="8" s="1"/>
  <c r="E19" i="8" s="1"/>
  <c r="E351" i="1"/>
  <c r="E348" i="1"/>
  <c r="E333" i="1"/>
  <c r="E315" i="1"/>
  <c r="E300" i="1"/>
  <c r="E290" i="1"/>
  <c r="E275" i="1"/>
  <c r="E270" i="1"/>
  <c r="E266" i="1"/>
  <c r="E264" i="1"/>
  <c r="E260" i="1"/>
  <c r="E242" i="1"/>
  <c r="E233" i="1"/>
  <c r="E225" i="1"/>
  <c r="E215" i="1"/>
  <c r="E205" i="1"/>
  <c r="E195" i="1"/>
  <c r="E161" i="1"/>
  <c r="E151" i="1"/>
  <c r="E144" i="1"/>
  <c r="E106" i="1"/>
  <c r="E100" i="1"/>
  <c r="E95" i="1"/>
  <c r="E81" i="1"/>
  <c r="E72" i="1"/>
  <c r="E60" i="1"/>
  <c r="E52" i="1"/>
  <c r="E37" i="1"/>
  <c r="E26" i="1"/>
  <c r="B6" i="7"/>
  <c r="C6" i="8" s="1"/>
  <c r="E6" i="8" s="1"/>
  <c r="I95" i="2"/>
  <c r="F12" i="7" s="1"/>
  <c r="J12" i="7" s="1"/>
  <c r="H95" i="2"/>
  <c r="E12" i="7" s="1"/>
  <c r="D12" i="7"/>
  <c r="F95" i="2"/>
  <c r="C12" i="7" s="1"/>
  <c r="E95" i="2"/>
  <c r="B12" i="7" s="1"/>
  <c r="C12" i="8" s="1"/>
  <c r="E12" i="8" s="1"/>
  <c r="I86" i="2"/>
  <c r="F11" i="7" s="1"/>
  <c r="H86" i="2"/>
  <c r="E11" i="7" s="1"/>
  <c r="D11" i="7"/>
  <c r="F86" i="2"/>
  <c r="C11" i="7" s="1"/>
  <c r="E86" i="2"/>
  <c r="B11" i="7" s="1"/>
  <c r="C11" i="8" s="1"/>
  <c r="E11" i="8" s="1"/>
  <c r="I68" i="2"/>
  <c r="F10" i="7" s="1"/>
  <c r="H68" i="2"/>
  <c r="E10" i="7" s="1"/>
  <c r="G68" i="2"/>
  <c r="D10" i="7" s="1"/>
  <c r="F68" i="2"/>
  <c r="C10" i="7" s="1"/>
  <c r="E68" i="2"/>
  <c r="B10" i="7" s="1"/>
  <c r="I62" i="2"/>
  <c r="F9" i="7" s="1"/>
  <c r="H62" i="2"/>
  <c r="E9" i="7" s="1"/>
  <c r="D9" i="7"/>
  <c r="F62" i="2"/>
  <c r="C9" i="7" s="1"/>
  <c r="E62" i="2"/>
  <c r="B9" i="7" s="1"/>
  <c r="C9" i="8" s="1"/>
  <c r="I56" i="2"/>
  <c r="F8" i="7" s="1"/>
  <c r="H56" i="2"/>
  <c r="E8" i="7" s="1"/>
  <c r="D8" i="7"/>
  <c r="F56" i="2"/>
  <c r="C8" i="7" s="1"/>
  <c r="E56" i="2"/>
  <c r="B8" i="7" s="1"/>
  <c r="F4" i="2"/>
  <c r="I11" i="2"/>
  <c r="F4" i="7" s="1"/>
  <c r="H11" i="2"/>
  <c r="E4" i="7" s="1"/>
  <c r="I4" i="7" s="1"/>
  <c r="D4" i="7"/>
  <c r="F11" i="2"/>
  <c r="C4" i="7" s="1"/>
  <c r="E11" i="2"/>
  <c r="B4" i="7" s="1"/>
  <c r="I19" i="2"/>
  <c r="F5" i="7" s="1"/>
  <c r="H19" i="2"/>
  <c r="E5" i="7" s="1"/>
  <c r="D5" i="7"/>
  <c r="F19" i="2"/>
  <c r="C5" i="7" s="1"/>
  <c r="E19" i="2"/>
  <c r="B5" i="7" s="1"/>
  <c r="C5" i="8" s="1"/>
  <c r="E5" i="8" s="1"/>
  <c r="I38" i="2"/>
  <c r="F7" i="7" s="1"/>
  <c r="E7" i="7"/>
  <c r="D7" i="7"/>
  <c r="C7" i="7"/>
  <c r="E38" i="2"/>
  <c r="B7" i="7" s="1"/>
  <c r="C7" i="8" s="1"/>
  <c r="E7" i="8" s="1"/>
  <c r="I22" i="2"/>
  <c r="H22" i="2"/>
  <c r="G22" i="2"/>
  <c r="F22" i="2"/>
  <c r="C6" i="7" s="1"/>
  <c r="E22" i="2"/>
  <c r="C19" i="6"/>
  <c r="E19" i="6"/>
  <c r="E18" i="6"/>
  <c r="C18" i="6"/>
  <c r="E17" i="6"/>
  <c r="C17" i="6"/>
  <c r="E9" i="6"/>
  <c r="C9" i="6"/>
  <c r="AE81" i="4"/>
  <c r="AC81" i="4"/>
  <c r="AA81" i="4"/>
  <c r="Y81" i="4"/>
  <c r="W81" i="4"/>
  <c r="G260" i="1"/>
  <c r="G300" i="1"/>
  <c r="G290" i="1"/>
  <c r="G275" i="1"/>
  <c r="G264" i="1"/>
  <c r="G242" i="1"/>
  <c r="G233" i="1"/>
  <c r="G225" i="1"/>
  <c r="G215" i="1"/>
  <c r="G205" i="1"/>
  <c r="G195" i="1"/>
  <c r="G161" i="1"/>
  <c r="G151" i="1"/>
  <c r="G144" i="1"/>
  <c r="G106" i="1"/>
  <c r="G100" i="1"/>
  <c r="G95" i="1"/>
  <c r="G81" i="1"/>
  <c r="G72" i="1"/>
  <c r="G60" i="1"/>
  <c r="G52" i="1"/>
  <c r="G37" i="1"/>
  <c r="G26" i="1"/>
  <c r="R135" i="4"/>
  <c r="R134" i="4"/>
  <c r="R133" i="4"/>
  <c r="R132" i="4"/>
  <c r="R102" i="4"/>
  <c r="R101" i="4"/>
  <c r="R84" i="4"/>
  <c r="S46" i="5"/>
  <c r="R46" i="5"/>
  <c r="Q46" i="5"/>
  <c r="S75" i="5"/>
  <c r="R75" i="5"/>
  <c r="Q75" i="5"/>
  <c r="O75" i="5"/>
  <c r="P75" i="5" s="1"/>
  <c r="S74" i="5"/>
  <c r="R74" i="5"/>
  <c r="Q74" i="5"/>
  <c r="O74" i="5"/>
  <c r="P74" i="5" s="1"/>
  <c r="S73" i="5"/>
  <c r="R73" i="5"/>
  <c r="Q73" i="5"/>
  <c r="O73" i="5"/>
  <c r="P73" i="5" s="1"/>
  <c r="M87" i="5"/>
  <c r="J87" i="5"/>
  <c r="S86" i="5"/>
  <c r="R86" i="5"/>
  <c r="Q86" i="5"/>
  <c r="O86" i="5"/>
  <c r="P86" i="5" s="1"/>
  <c r="R85" i="5"/>
  <c r="Q85" i="5"/>
  <c r="O85" i="5"/>
  <c r="P85" i="5" s="1"/>
  <c r="S84" i="5"/>
  <c r="R84" i="5"/>
  <c r="Q84" i="5"/>
  <c r="O84" i="5"/>
  <c r="P84" i="5" s="1"/>
  <c r="N83" i="5"/>
  <c r="Q83" i="5" s="1"/>
  <c r="M82" i="5"/>
  <c r="J82" i="5"/>
  <c r="M43" i="5"/>
  <c r="J43" i="5"/>
  <c r="M42" i="5"/>
  <c r="J42" i="5"/>
  <c r="M41" i="5"/>
  <c r="J41" i="5"/>
  <c r="M40" i="5"/>
  <c r="J40" i="5"/>
  <c r="M39" i="5"/>
  <c r="J39" i="5"/>
  <c r="M38" i="5"/>
  <c r="J38" i="5"/>
  <c r="M37" i="5"/>
  <c r="J37" i="5"/>
  <c r="M36" i="5"/>
  <c r="J36" i="5"/>
  <c r="M35" i="5"/>
  <c r="J35" i="5"/>
  <c r="M34" i="5"/>
  <c r="J34" i="5"/>
  <c r="M33" i="5"/>
  <c r="J33" i="5"/>
  <c r="M32" i="5"/>
  <c r="J32" i="5"/>
  <c r="M31" i="5"/>
  <c r="J31" i="5"/>
  <c r="M30" i="5"/>
  <c r="J30" i="5"/>
  <c r="M29" i="5"/>
  <c r="J29" i="5"/>
  <c r="M28" i="5"/>
  <c r="J28" i="5"/>
  <c r="M27" i="5"/>
  <c r="J27" i="5"/>
  <c r="M26" i="5"/>
  <c r="J26" i="5"/>
  <c r="M25" i="5"/>
  <c r="J25" i="5"/>
  <c r="M24" i="5"/>
  <c r="J24" i="5"/>
  <c r="M23" i="5"/>
  <c r="J23" i="5"/>
  <c r="N12" i="5"/>
  <c r="N18" i="5" s="1"/>
  <c r="T10" i="5"/>
  <c r="R10" i="5"/>
  <c r="Q10" i="5"/>
  <c r="O10" i="5"/>
  <c r="P10" i="5" s="1"/>
  <c r="T9" i="5"/>
  <c r="R9" i="5"/>
  <c r="Q9" i="5"/>
  <c r="O9" i="5"/>
  <c r="P9" i="5" s="1"/>
  <c r="T8" i="5"/>
  <c r="R8" i="5"/>
  <c r="Q8" i="5"/>
  <c r="O8" i="5"/>
  <c r="P8" i="5" s="1"/>
  <c r="T7" i="5"/>
  <c r="R7" i="5"/>
  <c r="Q7" i="5"/>
  <c r="O7" i="5"/>
  <c r="P7" i="5" s="1"/>
  <c r="T6" i="5"/>
  <c r="R6" i="5"/>
  <c r="Q6" i="5"/>
  <c r="O6" i="5"/>
  <c r="P6" i="5" s="1"/>
  <c r="T5" i="5"/>
  <c r="R5" i="5"/>
  <c r="Q5" i="5"/>
  <c r="O5" i="5"/>
  <c r="P5" i="5" s="1"/>
  <c r="T4" i="5"/>
  <c r="R4" i="5"/>
  <c r="Q4" i="5"/>
  <c r="O4" i="5"/>
  <c r="P4" i="5" s="1"/>
  <c r="T3" i="5"/>
  <c r="R3" i="5"/>
  <c r="Q3" i="5"/>
  <c r="O3" i="5"/>
  <c r="P3" i="5" s="1"/>
  <c r="R77" i="4"/>
  <c r="R76" i="4"/>
  <c r="R75" i="4"/>
  <c r="R70" i="4"/>
  <c r="R64" i="4"/>
  <c r="R63" i="4"/>
  <c r="R62" i="4"/>
  <c r="R74" i="4"/>
  <c r="R73" i="4"/>
  <c r="R72" i="4"/>
  <c r="R71" i="4"/>
  <c r="R69" i="4"/>
  <c r="R68" i="4"/>
  <c r="R67" i="4"/>
  <c r="R66" i="4"/>
  <c r="R65" i="4"/>
  <c r="Q77" i="4"/>
  <c r="Q76" i="4"/>
  <c r="Q75" i="4"/>
  <c r="Q70" i="4"/>
  <c r="Q64" i="4"/>
  <c r="Q63" i="4"/>
  <c r="Q62" i="4"/>
  <c r="Q74" i="4"/>
  <c r="Q73" i="4"/>
  <c r="Q72" i="4"/>
  <c r="Q71" i="4"/>
  <c r="Q69" i="4"/>
  <c r="Q68" i="4"/>
  <c r="Q67" i="4"/>
  <c r="Q66" i="4"/>
  <c r="Q65" i="4"/>
  <c r="G19" i="6" l="1"/>
  <c r="G18" i="6"/>
  <c r="G9" i="6"/>
  <c r="G17" i="6"/>
  <c r="I10" i="7"/>
  <c r="J10" i="7"/>
  <c r="G10" i="7"/>
  <c r="G8" i="7"/>
  <c r="H11" i="7"/>
  <c r="I11" i="7"/>
  <c r="I8" i="7"/>
  <c r="I5" i="7"/>
  <c r="I9" i="7"/>
  <c r="J5" i="7"/>
  <c r="J9" i="7"/>
  <c r="J6" i="7"/>
  <c r="G4" i="7"/>
  <c r="I6" i="7"/>
  <c r="J4" i="7"/>
  <c r="H6" i="7"/>
  <c r="G6" i="7"/>
  <c r="G11" i="7"/>
  <c r="G7" i="7"/>
  <c r="H7" i="7"/>
  <c r="H8" i="7"/>
  <c r="H4" i="7"/>
  <c r="I7" i="7"/>
  <c r="J11" i="7"/>
  <c r="J7" i="7"/>
  <c r="J8" i="7"/>
  <c r="H10" i="7"/>
  <c r="G12" i="7"/>
  <c r="G5" i="7"/>
  <c r="G9" i="7"/>
  <c r="H12" i="7"/>
  <c r="H5" i="7"/>
  <c r="H9" i="7"/>
  <c r="I12" i="7"/>
  <c r="G25" i="7"/>
  <c r="G27" i="7"/>
  <c r="I25" i="7"/>
  <c r="I27" i="7"/>
  <c r="J25" i="7"/>
  <c r="J27" i="7"/>
  <c r="AJ29" i="4"/>
  <c r="AH15" i="4"/>
  <c r="AH67" i="4"/>
  <c r="N27" i="5"/>
  <c r="S27" i="5" s="1"/>
  <c r="N35" i="5"/>
  <c r="S35" i="5" s="1"/>
  <c r="N43" i="5"/>
  <c r="S43" i="5" s="1"/>
  <c r="N28" i="5"/>
  <c r="S28" i="5" s="1"/>
  <c r="N25" i="5"/>
  <c r="S25" i="5" s="1"/>
  <c r="N33" i="5"/>
  <c r="S33" i="5" s="1"/>
  <c r="N41" i="5"/>
  <c r="S41" i="5" s="1"/>
  <c r="I384" i="1"/>
  <c r="E26" i="7" s="1"/>
  <c r="J384" i="1"/>
  <c r="F26" i="7" s="1"/>
  <c r="F29" i="7"/>
  <c r="E29" i="7"/>
  <c r="E334" i="1"/>
  <c r="B23" i="7" s="1"/>
  <c r="H25" i="7"/>
  <c r="H27" i="7"/>
  <c r="H384" i="1"/>
  <c r="D26" i="7" s="1"/>
  <c r="B6" i="12" s="1"/>
  <c r="C8" i="8"/>
  <c r="E8" i="8" s="1"/>
  <c r="C10" i="8"/>
  <c r="E10" i="8" s="1"/>
  <c r="C4" i="8"/>
  <c r="E4" i="8" s="1"/>
  <c r="F97" i="2"/>
  <c r="O10" i="9"/>
  <c r="Q10" i="9" s="1"/>
  <c r="O26" i="9"/>
  <c r="O12" i="9"/>
  <c r="O28" i="9"/>
  <c r="O8" i="9"/>
  <c r="O24" i="9"/>
  <c r="O18" i="9"/>
  <c r="O34" i="9"/>
  <c r="Q34" i="9" s="1"/>
  <c r="O35" i="9"/>
  <c r="Q35" i="9" s="1"/>
  <c r="O19" i="9"/>
  <c r="Q19" i="9" s="1"/>
  <c r="O20" i="9"/>
  <c r="Q20" i="9" s="1"/>
  <c r="O36" i="9"/>
  <c r="O13" i="9"/>
  <c r="Q13" i="9" s="1"/>
  <c r="O29" i="9"/>
  <c r="Q29" i="9" s="1"/>
  <c r="O9" i="9"/>
  <c r="Q9" i="9" s="1"/>
  <c r="O25" i="9"/>
  <c r="O16" i="9"/>
  <c r="Q17" i="9" s="1"/>
  <c r="O32" i="9"/>
  <c r="Q32" i="9" s="1"/>
  <c r="O11" i="9"/>
  <c r="Q12" i="9" s="1"/>
  <c r="O27" i="9"/>
  <c r="Q27" i="9" s="1"/>
  <c r="O22" i="9"/>
  <c r="O7" i="9"/>
  <c r="O23" i="9"/>
  <c r="Q18" i="9"/>
  <c r="O21" i="9"/>
  <c r="Q21" i="9" s="1"/>
  <c r="O37" i="9"/>
  <c r="Q38" i="9" s="1"/>
  <c r="O14" i="9"/>
  <c r="Q14" i="9" s="1"/>
  <c r="O30" i="9"/>
  <c r="Q30" i="9" s="1"/>
  <c r="Q24" i="9"/>
  <c r="Q36" i="9"/>
  <c r="Q26" i="9"/>
  <c r="N39" i="9"/>
  <c r="M39" i="9"/>
  <c r="I415" i="1"/>
  <c r="E9" i="8"/>
  <c r="G415" i="1"/>
  <c r="E415" i="1"/>
  <c r="B28" i="7" s="1"/>
  <c r="C22" i="8" s="1"/>
  <c r="E22" i="8" s="1"/>
  <c r="H415" i="1"/>
  <c r="D28" i="7" s="1"/>
  <c r="B8" i="12" s="1"/>
  <c r="J415" i="1"/>
  <c r="F28" i="7" s="1"/>
  <c r="J28" i="7" s="1"/>
  <c r="G384" i="1"/>
  <c r="C26" i="7" s="1"/>
  <c r="E358" i="1"/>
  <c r="B24" i="7" s="1"/>
  <c r="C18" i="8" s="1"/>
  <c r="E18" i="8" s="1"/>
  <c r="C20" i="6"/>
  <c r="C23" i="6" s="1"/>
  <c r="E20" i="6"/>
  <c r="C14" i="6"/>
  <c r="G14" i="6" s="1"/>
  <c r="R83" i="5"/>
  <c r="N24" i="5"/>
  <c r="S24" i="5" s="1"/>
  <c r="N32" i="5"/>
  <c r="R32" i="5" s="1"/>
  <c r="N40" i="5"/>
  <c r="N29" i="5"/>
  <c r="S29" i="5" s="1"/>
  <c r="N37" i="5"/>
  <c r="S37" i="5" s="1"/>
  <c r="N87" i="5"/>
  <c r="S87" i="5" s="1"/>
  <c r="N23" i="5"/>
  <c r="S23" i="5" s="1"/>
  <c r="N31" i="5"/>
  <c r="S31" i="5" s="1"/>
  <c r="N39" i="5"/>
  <c r="N26" i="5"/>
  <c r="N34" i="5"/>
  <c r="S34" i="5" s="1"/>
  <c r="N42" i="5"/>
  <c r="N36" i="5"/>
  <c r="S36" i="5" s="1"/>
  <c r="R12" i="5"/>
  <c r="R17" i="5" s="1"/>
  <c r="Q12" i="5"/>
  <c r="Q14" i="5" s="1"/>
  <c r="N30" i="5"/>
  <c r="S30" i="5" s="1"/>
  <c r="N38" i="5"/>
  <c r="S83" i="5"/>
  <c r="S12" i="5"/>
  <c r="S18" i="5" s="1"/>
  <c r="N82" i="5"/>
  <c r="O83" i="5"/>
  <c r="P83" i="5" s="1"/>
  <c r="R40" i="5"/>
  <c r="O33" i="5"/>
  <c r="P33" i="5" s="1"/>
  <c r="N13" i="5"/>
  <c r="N14" i="5"/>
  <c r="N15" i="5"/>
  <c r="N16" i="5"/>
  <c r="N17" i="5"/>
  <c r="G20" i="6" l="1"/>
  <c r="C26" i="6"/>
  <c r="Q43" i="5"/>
  <c r="Q35" i="5"/>
  <c r="O35" i="5"/>
  <c r="P35" i="5" s="1"/>
  <c r="R35" i="5"/>
  <c r="O43" i="5"/>
  <c r="P43" i="5" s="1"/>
  <c r="R43" i="5"/>
  <c r="R27" i="5"/>
  <c r="R87" i="5"/>
  <c r="Q27" i="5"/>
  <c r="O27" i="5"/>
  <c r="P27" i="5" s="1"/>
  <c r="Q28" i="5"/>
  <c r="R28" i="5"/>
  <c r="O28" i="5"/>
  <c r="P28" i="5" s="1"/>
  <c r="Q37" i="5"/>
  <c r="O37" i="5"/>
  <c r="P37" i="5" s="1"/>
  <c r="Q87" i="5"/>
  <c r="Q24" i="5"/>
  <c r="R24" i="5"/>
  <c r="O41" i="5"/>
  <c r="P41" i="5" s="1"/>
  <c r="O24" i="5"/>
  <c r="P24" i="5" s="1"/>
  <c r="Q41" i="5"/>
  <c r="R41" i="5"/>
  <c r="Q33" i="5"/>
  <c r="R33" i="5"/>
  <c r="Q30" i="5"/>
  <c r="Q26" i="5"/>
  <c r="S26" i="5"/>
  <c r="R37" i="5"/>
  <c r="O39" i="5"/>
  <c r="P39" i="5" s="1"/>
  <c r="S39" i="5"/>
  <c r="Q25" i="5"/>
  <c r="O42" i="5"/>
  <c r="P42" i="5" s="1"/>
  <c r="S42" i="5"/>
  <c r="R25" i="5"/>
  <c r="O25" i="5"/>
  <c r="P25" i="5" s="1"/>
  <c r="O40" i="5"/>
  <c r="P40" i="5" s="1"/>
  <c r="S40" i="5"/>
  <c r="O32" i="5"/>
  <c r="P32" i="5" s="1"/>
  <c r="S32" i="5"/>
  <c r="O38" i="5"/>
  <c r="P38" i="5" s="1"/>
  <c r="S38" i="5"/>
  <c r="H28" i="7"/>
  <c r="E28" i="7"/>
  <c r="I28" i="7" s="1"/>
  <c r="Q28" i="9"/>
  <c r="Q33" i="9"/>
  <c r="Q23" i="9"/>
  <c r="Q15" i="9"/>
  <c r="Q37" i="9"/>
  <c r="Q25" i="9"/>
  <c r="O39" i="9"/>
  <c r="Q8" i="9"/>
  <c r="Q11" i="9"/>
  <c r="Q16" i="9"/>
  <c r="Q22" i="9"/>
  <c r="Q31" i="9"/>
  <c r="C28" i="7"/>
  <c r="G28" i="7" s="1"/>
  <c r="C17" i="8"/>
  <c r="D26" i="8"/>
  <c r="E31" i="6"/>
  <c r="E23" i="6"/>
  <c r="G23" i="6" s="1"/>
  <c r="C31" i="6"/>
  <c r="C33" i="6" s="1"/>
  <c r="Q40" i="5"/>
  <c r="O29" i="5"/>
  <c r="P29" i="5" s="1"/>
  <c r="Q29" i="5"/>
  <c r="R29" i="5"/>
  <c r="Q32" i="5"/>
  <c r="R26" i="5"/>
  <c r="R16" i="5"/>
  <c r="R14" i="5"/>
  <c r="Q39" i="5"/>
  <c r="Q34" i="5"/>
  <c r="O26" i="5"/>
  <c r="P26" i="5" s="1"/>
  <c r="R39" i="5"/>
  <c r="R42" i="5"/>
  <c r="Q36" i="5"/>
  <c r="S16" i="5"/>
  <c r="R15" i="5"/>
  <c r="R36" i="5"/>
  <c r="Q23" i="5"/>
  <c r="O87" i="5"/>
  <c r="P87" i="5" s="1"/>
  <c r="R23" i="5"/>
  <c r="N89" i="5"/>
  <c r="R13" i="5"/>
  <c r="O31" i="5"/>
  <c r="P31" i="5" s="1"/>
  <c r="Q18" i="5"/>
  <c r="Q31" i="5"/>
  <c r="R31" i="5"/>
  <c r="Q17" i="5"/>
  <c r="Q16" i="5"/>
  <c r="O36" i="5"/>
  <c r="P36" i="5" s="1"/>
  <c r="S14" i="5"/>
  <c r="O23" i="5"/>
  <c r="P23" i="5" s="1"/>
  <c r="S15" i="5"/>
  <c r="N45" i="5"/>
  <c r="N47" i="5" s="1"/>
  <c r="N49" i="5" s="1"/>
  <c r="Q15" i="5"/>
  <c r="O34" i="5"/>
  <c r="P34" i="5" s="1"/>
  <c r="Q38" i="5"/>
  <c r="R18" i="5"/>
  <c r="R34" i="5"/>
  <c r="Q82" i="5"/>
  <c r="Q13" i="5"/>
  <c r="O30" i="5"/>
  <c r="P30" i="5" s="1"/>
  <c r="R82" i="5"/>
  <c r="O82" i="5"/>
  <c r="P82" i="5" s="1"/>
  <c r="Q42" i="5"/>
  <c r="S82" i="5"/>
  <c r="S17" i="5"/>
  <c r="R38" i="5"/>
  <c r="S13" i="5"/>
  <c r="R30" i="5"/>
  <c r="AC139" i="4"/>
  <c r="AC141" i="4" s="1"/>
  <c r="AE139" i="4"/>
  <c r="AE141" i="4" s="1"/>
  <c r="AA139" i="4"/>
  <c r="AA141" i="4" s="1"/>
  <c r="Y139" i="4"/>
  <c r="Y141" i="4" s="1"/>
  <c r="X139" i="4"/>
  <c r="X141" i="4" s="1"/>
  <c r="T131" i="4"/>
  <c r="T130" i="4"/>
  <c r="T129" i="4"/>
  <c r="T65" i="4"/>
  <c r="V65" i="4" s="1"/>
  <c r="T66" i="4"/>
  <c r="V66" i="4" s="1"/>
  <c r="T69" i="4"/>
  <c r="T74" i="4"/>
  <c r="T68" i="4"/>
  <c r="T73" i="4"/>
  <c r="T77" i="4"/>
  <c r="T70" i="4"/>
  <c r="T62" i="4"/>
  <c r="V62" i="4" s="1"/>
  <c r="T64" i="4"/>
  <c r="V64" i="4" s="1"/>
  <c r="T63" i="4"/>
  <c r="V63" i="4" s="1"/>
  <c r="T71" i="4"/>
  <c r="T72" i="4"/>
  <c r="V72" i="4" s="1"/>
  <c r="N87" i="4"/>
  <c r="S136" i="4"/>
  <c r="S135" i="4"/>
  <c r="S134" i="4"/>
  <c r="S133" i="4"/>
  <c r="S132" i="4"/>
  <c r="S102" i="4"/>
  <c r="S101" i="4"/>
  <c r="S84" i="4"/>
  <c r="O84" i="4"/>
  <c r="P84" i="4" s="1"/>
  <c r="AB84" i="4" s="1"/>
  <c r="O77" i="4"/>
  <c r="P77" i="4" s="1"/>
  <c r="AB77" i="4" s="1"/>
  <c r="O76" i="4"/>
  <c r="P76" i="4" s="1"/>
  <c r="O75" i="4"/>
  <c r="P75" i="4" s="1"/>
  <c r="O70" i="4"/>
  <c r="P70" i="4" s="1"/>
  <c r="O64" i="4"/>
  <c r="P64" i="4" s="1"/>
  <c r="AB64" i="4" s="1"/>
  <c r="O65" i="4"/>
  <c r="P65" i="4" s="1"/>
  <c r="AB65" i="4" s="1"/>
  <c r="O63" i="4"/>
  <c r="P63" i="4" s="1"/>
  <c r="AB63" i="4" s="1"/>
  <c r="O62" i="4"/>
  <c r="P62" i="4" s="1"/>
  <c r="AB62" i="4" s="1"/>
  <c r="O72" i="4"/>
  <c r="P72" i="4" s="1"/>
  <c r="AB72" i="4" s="1"/>
  <c r="O73" i="4"/>
  <c r="P73" i="4" s="1"/>
  <c r="O74" i="4"/>
  <c r="P74" i="4" s="1"/>
  <c r="AB74" i="4" s="1"/>
  <c r="O71" i="4"/>
  <c r="P71" i="4" s="1"/>
  <c r="O67" i="4"/>
  <c r="P67" i="4" s="1"/>
  <c r="O69" i="4"/>
  <c r="P69" i="4" s="1"/>
  <c r="O68" i="4"/>
  <c r="P68" i="4" s="1"/>
  <c r="O66" i="4"/>
  <c r="P66" i="4" s="1"/>
  <c r="AB66" i="4" s="1"/>
  <c r="N86" i="4"/>
  <c r="N85" i="4"/>
  <c r="E3" i="2" l="1"/>
  <c r="T139" i="4"/>
  <c r="S86" i="4"/>
  <c r="R86" i="4"/>
  <c r="S87" i="4"/>
  <c r="R87" i="4"/>
  <c r="S85" i="4"/>
  <c r="R85" i="4"/>
  <c r="H343" i="1"/>
  <c r="H348" i="1" s="1"/>
  <c r="G343" i="1"/>
  <c r="T81" i="4"/>
  <c r="V81" i="4"/>
  <c r="V141" i="4" s="1"/>
  <c r="H341" i="1" s="1"/>
  <c r="U14" i="5"/>
  <c r="U17" i="5"/>
  <c r="Z16" i="5"/>
  <c r="AA16" i="5" s="1"/>
  <c r="E26" i="6"/>
  <c r="G26" i="6" s="1"/>
  <c r="E17" i="8"/>
  <c r="E4" i="2"/>
  <c r="B15" i="7" s="1"/>
  <c r="Z15" i="5"/>
  <c r="AA15" i="5" s="1"/>
  <c r="Z14" i="5"/>
  <c r="AA14" i="5" s="1"/>
  <c r="U16" i="5"/>
  <c r="Z18" i="5"/>
  <c r="Q45" i="5"/>
  <c r="Q47" i="5" s="1"/>
  <c r="Q49" i="5" s="1"/>
  <c r="Z13" i="5"/>
  <c r="AA13" i="5" s="1"/>
  <c r="N77" i="5"/>
  <c r="U15" i="5"/>
  <c r="U18" i="5"/>
  <c r="R45" i="5"/>
  <c r="R47" i="5" s="1"/>
  <c r="R49" i="5" s="1"/>
  <c r="S45" i="5"/>
  <c r="S47" i="5" s="1"/>
  <c r="S49" i="5" s="1"/>
  <c r="Z17" i="5"/>
  <c r="U13" i="5"/>
  <c r="AF69" i="4"/>
  <c r="AD69" i="4"/>
  <c r="Z69" i="4"/>
  <c r="AF66" i="4"/>
  <c r="AD66" i="4"/>
  <c r="Z66" i="4"/>
  <c r="AD74" i="4"/>
  <c r="Z74" i="4"/>
  <c r="AF74" i="4"/>
  <c r="Z73" i="4"/>
  <c r="AD70" i="4"/>
  <c r="Z70" i="4"/>
  <c r="AF70" i="4"/>
  <c r="AF72" i="4"/>
  <c r="AD72" i="4"/>
  <c r="Z72" i="4"/>
  <c r="AD77" i="4"/>
  <c r="Z77" i="4"/>
  <c r="AF77" i="4"/>
  <c r="AF71" i="4"/>
  <c r="AD71" i="4"/>
  <c r="Z71" i="4"/>
  <c r="AD62" i="4"/>
  <c r="Z62" i="4"/>
  <c r="AF62" i="4"/>
  <c r="AH79" i="4"/>
  <c r="AF68" i="4"/>
  <c r="AD68" i="4"/>
  <c r="Z68" i="4"/>
  <c r="AF64" i="4"/>
  <c r="AD64" i="4"/>
  <c r="Z64" i="4"/>
  <c r="AH78" i="4"/>
  <c r="AF65" i="4"/>
  <c r="AD65" i="4"/>
  <c r="Z65" i="4"/>
  <c r="Z63" i="4"/>
  <c r="AF63" i="4"/>
  <c r="AD63" i="4"/>
  <c r="AF84" i="4"/>
  <c r="N128" i="4"/>
  <c r="AD84" i="4"/>
  <c r="Z84" i="4"/>
  <c r="AH84" i="4" s="1"/>
  <c r="N130" i="4"/>
  <c r="R130" i="4" s="1"/>
  <c r="N131" i="4"/>
  <c r="N93" i="4"/>
  <c r="N114" i="4"/>
  <c r="R114" i="4" s="1"/>
  <c r="N95" i="4"/>
  <c r="N115" i="4"/>
  <c r="O87" i="4"/>
  <c r="P87" i="4" s="1"/>
  <c r="N96" i="4"/>
  <c r="N112" i="4"/>
  <c r="R112" i="4" s="1"/>
  <c r="N113" i="4"/>
  <c r="R113" i="4" s="1"/>
  <c r="N129" i="4"/>
  <c r="N94" i="4"/>
  <c r="N125" i="4"/>
  <c r="R125" i="4" s="1"/>
  <c r="N97" i="4"/>
  <c r="R97" i="4" s="1"/>
  <c r="N111" i="4"/>
  <c r="R111" i="4" s="1"/>
  <c r="O85" i="4"/>
  <c r="N110" i="4"/>
  <c r="R110" i="4" s="1"/>
  <c r="O86" i="4"/>
  <c r="P86" i="4" s="1"/>
  <c r="N88" i="4"/>
  <c r="R88" i="4" s="1"/>
  <c r="N123" i="4"/>
  <c r="R123" i="4" s="1"/>
  <c r="N90" i="4"/>
  <c r="R90" i="4" s="1"/>
  <c r="N116" i="4"/>
  <c r="R116" i="4" s="1"/>
  <c r="N109" i="4"/>
  <c r="R109" i="4" s="1"/>
  <c r="N126" i="4"/>
  <c r="R126" i="4" s="1"/>
  <c r="N117" i="4"/>
  <c r="R117" i="4" s="1"/>
  <c r="N99" i="4"/>
  <c r="R99" i="4" s="1"/>
  <c r="N118" i="4"/>
  <c r="R118" i="4" s="1"/>
  <c r="N98" i="4"/>
  <c r="R98" i="4" s="1"/>
  <c r="N103" i="4"/>
  <c r="R103" i="4" s="1"/>
  <c r="N119" i="4"/>
  <c r="R119" i="4" s="1"/>
  <c r="N120" i="4"/>
  <c r="R120" i="4" s="1"/>
  <c r="N105" i="4"/>
  <c r="R105" i="4" s="1"/>
  <c r="N121" i="4"/>
  <c r="R121" i="4" s="1"/>
  <c r="N106" i="4"/>
  <c r="R106" i="4" s="1"/>
  <c r="N122" i="4"/>
  <c r="R122" i="4" s="1"/>
  <c r="N124" i="4"/>
  <c r="R124" i="4" s="1"/>
  <c r="N91" i="4"/>
  <c r="R91" i="4" s="1"/>
  <c r="N92" i="4"/>
  <c r="R92" i="4" s="1"/>
  <c r="N127" i="4"/>
  <c r="R127" i="4" s="1"/>
  <c r="N108" i="4"/>
  <c r="R108" i="4" s="1"/>
  <c r="N107" i="4"/>
  <c r="R107" i="4" s="1"/>
  <c r="N104" i="4"/>
  <c r="R104" i="4" s="1"/>
  <c r="N100" i="4"/>
  <c r="R100" i="4" s="1"/>
  <c r="N89" i="4"/>
  <c r="R89" i="4" s="1"/>
  <c r="AB68" i="4"/>
  <c r="T141" i="4" l="1"/>
  <c r="S96" i="4"/>
  <c r="R96" i="4"/>
  <c r="S131" i="4"/>
  <c r="R131" i="4"/>
  <c r="S128" i="4"/>
  <c r="R128" i="4"/>
  <c r="O93" i="4"/>
  <c r="P93" i="4" s="1"/>
  <c r="AD93" i="4" s="1"/>
  <c r="R93" i="4"/>
  <c r="O94" i="4"/>
  <c r="P94" i="4" s="1"/>
  <c r="AD94" i="4" s="1"/>
  <c r="R94" i="4"/>
  <c r="O95" i="4"/>
  <c r="P95" i="4" s="1"/>
  <c r="AB95" i="4" s="1"/>
  <c r="R95" i="4"/>
  <c r="O129" i="4"/>
  <c r="P129" i="4" s="1"/>
  <c r="AF129" i="4" s="1"/>
  <c r="R129" i="4"/>
  <c r="S115" i="4"/>
  <c r="R115" i="4"/>
  <c r="N81" i="4"/>
  <c r="Z49" i="5"/>
  <c r="AA49" i="5" s="1"/>
  <c r="AA51" i="5" s="1"/>
  <c r="E33" i="6"/>
  <c r="S81" i="4"/>
  <c r="C13" i="8"/>
  <c r="B20" i="7"/>
  <c r="E97" i="2"/>
  <c r="AH68" i="4"/>
  <c r="AH77" i="4"/>
  <c r="AH73" i="4"/>
  <c r="AH69" i="4"/>
  <c r="AH63" i="4"/>
  <c r="AH65" i="4"/>
  <c r="O128" i="4"/>
  <c r="P128" i="4" s="1"/>
  <c r="AB128" i="4" s="1"/>
  <c r="AH75" i="4"/>
  <c r="AH72" i="4"/>
  <c r="AH76" i="4"/>
  <c r="AH62" i="4"/>
  <c r="AH64" i="4"/>
  <c r="AH70" i="4"/>
  <c r="S114" i="4"/>
  <c r="S95" i="4"/>
  <c r="AB93" i="4"/>
  <c r="Z87" i="4"/>
  <c r="AF87" i="4"/>
  <c r="AD87" i="4"/>
  <c r="AB87" i="4"/>
  <c r="AD86" i="4"/>
  <c r="AB86" i="4"/>
  <c r="Z86" i="4"/>
  <c r="AF86" i="4"/>
  <c r="S130" i="4"/>
  <c r="S112" i="4"/>
  <c r="O131" i="4"/>
  <c r="P131" i="4" s="1"/>
  <c r="O115" i="4"/>
  <c r="P115" i="4" s="1"/>
  <c r="O130" i="4"/>
  <c r="P130" i="4" s="1"/>
  <c r="O114" i="4"/>
  <c r="P114" i="4" s="1"/>
  <c r="O112" i="4"/>
  <c r="P112" i="4" s="1"/>
  <c r="S93" i="4"/>
  <c r="S125" i="4"/>
  <c r="S129" i="4"/>
  <c r="O125" i="4"/>
  <c r="P125" i="4" s="1"/>
  <c r="O96" i="4"/>
  <c r="P96" i="4" s="1"/>
  <c r="O113" i="4"/>
  <c r="P113" i="4" s="1"/>
  <c r="S94" i="4"/>
  <c r="S113" i="4"/>
  <c r="N139" i="4"/>
  <c r="O106" i="4"/>
  <c r="P106" i="4" s="1"/>
  <c r="S106" i="4"/>
  <c r="S97" i="4"/>
  <c r="O97" i="4"/>
  <c r="P97" i="4" s="1"/>
  <c r="O105" i="4"/>
  <c r="P105" i="4" s="1"/>
  <c r="S105" i="4"/>
  <c r="O88" i="4"/>
  <c r="P88" i="4" s="1"/>
  <c r="S88" i="4"/>
  <c r="S100" i="4"/>
  <c r="O100" i="4"/>
  <c r="P100" i="4" s="1"/>
  <c r="O104" i="4"/>
  <c r="P104" i="4" s="1"/>
  <c r="S104" i="4"/>
  <c r="S117" i="4"/>
  <c r="O117" i="4"/>
  <c r="P117" i="4" s="1"/>
  <c r="S118" i="4"/>
  <c r="O118" i="4"/>
  <c r="P118" i="4" s="1"/>
  <c r="S99" i="4"/>
  <c r="O99" i="4"/>
  <c r="P99" i="4" s="1"/>
  <c r="O122" i="4"/>
  <c r="P122" i="4" s="1"/>
  <c r="S122" i="4"/>
  <c r="S98" i="4"/>
  <c r="O98" i="4"/>
  <c r="P98" i="4" s="1"/>
  <c r="O126" i="4"/>
  <c r="P126" i="4" s="1"/>
  <c r="S126" i="4"/>
  <c r="O127" i="4"/>
  <c r="P127" i="4" s="1"/>
  <c r="S127" i="4"/>
  <c r="O92" i="4"/>
  <c r="P92" i="4" s="1"/>
  <c r="S92" i="4"/>
  <c r="O91" i="4"/>
  <c r="P91" i="4" s="1"/>
  <c r="S91" i="4"/>
  <c r="O90" i="4"/>
  <c r="P90" i="4" s="1"/>
  <c r="S90" i="4"/>
  <c r="P85" i="4"/>
  <c r="O121" i="4"/>
  <c r="P121" i="4" s="1"/>
  <c r="S121" i="4"/>
  <c r="O120" i="4"/>
  <c r="P120" i="4" s="1"/>
  <c r="S120" i="4"/>
  <c r="S119" i="4"/>
  <c r="O119" i="4"/>
  <c r="P119" i="4" s="1"/>
  <c r="S103" i="4"/>
  <c r="O103" i="4"/>
  <c r="P103" i="4" s="1"/>
  <c r="O89" i="4"/>
  <c r="P89" i="4" s="1"/>
  <c r="S89" i="4"/>
  <c r="O107" i="4"/>
  <c r="P107" i="4" s="1"/>
  <c r="S107" i="4"/>
  <c r="O108" i="4"/>
  <c r="P108" i="4" s="1"/>
  <c r="S108" i="4"/>
  <c r="O110" i="4"/>
  <c r="P110" i="4" s="1"/>
  <c r="S110" i="4"/>
  <c r="O109" i="4"/>
  <c r="P109" i="4" s="1"/>
  <c r="S109" i="4"/>
  <c r="S116" i="4"/>
  <c r="O116" i="4"/>
  <c r="P116" i="4" s="1"/>
  <c r="O124" i="4"/>
  <c r="P124" i="4" s="1"/>
  <c r="S124" i="4"/>
  <c r="O123" i="4"/>
  <c r="P123" i="4" s="1"/>
  <c r="S123" i="4"/>
  <c r="O111" i="4"/>
  <c r="P111" i="4" s="1"/>
  <c r="S111" i="4"/>
  <c r="J266" i="1"/>
  <c r="I266" i="1"/>
  <c r="G266" i="1"/>
  <c r="J358" i="1"/>
  <c r="I358" i="1"/>
  <c r="J315" i="1"/>
  <c r="I315" i="1"/>
  <c r="G315" i="1"/>
  <c r="J300" i="1"/>
  <c r="I300" i="1"/>
  <c r="J275" i="1"/>
  <c r="I275" i="1"/>
  <c r="J264" i="1"/>
  <c r="I264" i="1"/>
  <c r="J260" i="1"/>
  <c r="I260" i="1"/>
  <c r="J242" i="1"/>
  <c r="I242" i="1"/>
  <c r="J233" i="1"/>
  <c r="I233" i="1"/>
  <c r="J215" i="1"/>
  <c r="I215" i="1"/>
  <c r="J205" i="1"/>
  <c r="I205" i="1"/>
  <c r="J195" i="1"/>
  <c r="I195" i="1"/>
  <c r="J161" i="1"/>
  <c r="I161" i="1"/>
  <c r="J151" i="1"/>
  <c r="I151" i="1"/>
  <c r="J106" i="1"/>
  <c r="I106" i="1"/>
  <c r="J100" i="1"/>
  <c r="I100" i="1"/>
  <c r="J95" i="1"/>
  <c r="I95" i="1"/>
  <c r="J72" i="1"/>
  <c r="I72" i="1"/>
  <c r="J60" i="1"/>
  <c r="I60" i="1"/>
  <c r="J52" i="1"/>
  <c r="I52" i="1"/>
  <c r="J37" i="1"/>
  <c r="I37" i="1"/>
  <c r="J26" i="1"/>
  <c r="I26" i="1"/>
  <c r="B216" i="1"/>
  <c r="A214" i="1"/>
  <c r="A213" i="1"/>
  <c r="A212" i="1"/>
  <c r="A211" i="1"/>
  <c r="A210" i="1"/>
  <c r="A209" i="1"/>
  <c r="A208" i="1"/>
  <c r="E382" i="1"/>
  <c r="E383" i="1" s="1"/>
  <c r="E384" i="1" s="1"/>
  <c r="E417" i="1"/>
  <c r="H417" i="1" s="1"/>
  <c r="H419" i="1" s="1"/>
  <c r="B343" i="1"/>
  <c r="B344" i="1"/>
  <c r="B345" i="1"/>
  <c r="B346" i="1"/>
  <c r="A260" i="1"/>
  <c r="A216" i="1"/>
  <c r="A206" i="1"/>
  <c r="AF93" i="4" l="1"/>
  <c r="Z93" i="4"/>
  <c r="R139" i="4"/>
  <c r="Z94" i="4"/>
  <c r="AH94" i="4" s="1"/>
  <c r="AB94" i="4"/>
  <c r="AD129" i="4"/>
  <c r="Z129" i="4"/>
  <c r="AH129" i="4" s="1"/>
  <c r="AB129" i="4"/>
  <c r="AF94" i="4"/>
  <c r="AD128" i="4"/>
  <c r="AF95" i="4"/>
  <c r="Z95" i="4"/>
  <c r="AD95" i="4"/>
  <c r="N141" i="4"/>
  <c r="R81" i="4"/>
  <c r="R141" i="4" s="1"/>
  <c r="Q81" i="4"/>
  <c r="H352" i="1"/>
  <c r="D18" i="7"/>
  <c r="G33" i="6"/>
  <c r="E18" i="7"/>
  <c r="I18" i="7" s="1"/>
  <c r="C18" i="7"/>
  <c r="G18" i="7" s="1"/>
  <c r="F18" i="7"/>
  <c r="J18" i="7" s="1"/>
  <c r="B26" i="7"/>
  <c r="I334" i="1"/>
  <c r="I422" i="1" s="1"/>
  <c r="G3" i="2"/>
  <c r="G4" i="2" s="1"/>
  <c r="I3" i="2"/>
  <c r="I4" i="2" s="1"/>
  <c r="I97" i="2" s="1"/>
  <c r="H3" i="2"/>
  <c r="H4" i="2" s="1"/>
  <c r="H97" i="2" s="1"/>
  <c r="O81" i="4"/>
  <c r="P81" i="4"/>
  <c r="H334" i="1"/>
  <c r="J334" i="1"/>
  <c r="J422" i="1" s="1"/>
  <c r="G334" i="1"/>
  <c r="C23" i="7" s="1"/>
  <c r="G23" i="7" s="1"/>
  <c r="E13" i="8"/>
  <c r="C14" i="8"/>
  <c r="F24" i="7"/>
  <c r="J24" i="7" s="1"/>
  <c r="E24" i="7"/>
  <c r="I24" i="7" s="1"/>
  <c r="AB81" i="4"/>
  <c r="AH66" i="4"/>
  <c r="G352" i="1"/>
  <c r="AH71" i="4"/>
  <c r="E419" i="1"/>
  <c r="AH74" i="4"/>
  <c r="AF128" i="4"/>
  <c r="Z128" i="4"/>
  <c r="AH128" i="4" s="1"/>
  <c r="AH95" i="4"/>
  <c r="AB124" i="4"/>
  <c r="Z124" i="4"/>
  <c r="AH124" i="4" s="1"/>
  <c r="AD124" i="4"/>
  <c r="AF124" i="4"/>
  <c r="AB116" i="4"/>
  <c r="Z116" i="4"/>
  <c r="AH116" i="4" s="1"/>
  <c r="AD116" i="4"/>
  <c r="AF116" i="4"/>
  <c r="AF89" i="4"/>
  <c r="AD89" i="4"/>
  <c r="AB89" i="4"/>
  <c r="Z89" i="4"/>
  <c r="AH89" i="4" s="1"/>
  <c r="AF105" i="4"/>
  <c r="AB105" i="4"/>
  <c r="Z105" i="4"/>
  <c r="AH105" i="4" s="1"/>
  <c r="AD105" i="4"/>
  <c r="AB125" i="4"/>
  <c r="Z125" i="4"/>
  <c r="AH125" i="4" s="1"/>
  <c r="AD125" i="4"/>
  <c r="AF125" i="4"/>
  <c r="AD90" i="4"/>
  <c r="AB90" i="4"/>
  <c r="Z90" i="4"/>
  <c r="AF90" i="4"/>
  <c r="AD104" i="4"/>
  <c r="AF104" i="4"/>
  <c r="AB104" i="4"/>
  <c r="Z104" i="4"/>
  <c r="AH104" i="4" s="1"/>
  <c r="Z103" i="4"/>
  <c r="AD103" i="4"/>
  <c r="AF103" i="4"/>
  <c r="AB103" i="4"/>
  <c r="AF122" i="4"/>
  <c r="AB122" i="4"/>
  <c r="Z122" i="4"/>
  <c r="AH122" i="4" s="1"/>
  <c r="AD122" i="4"/>
  <c r="AD97" i="4"/>
  <c r="AB97" i="4"/>
  <c r="Z97" i="4"/>
  <c r="AF97" i="4"/>
  <c r="AD91" i="4"/>
  <c r="AB91" i="4"/>
  <c r="Z91" i="4"/>
  <c r="AF91" i="4"/>
  <c r="AD100" i="4"/>
  <c r="AB100" i="4"/>
  <c r="Z100" i="4"/>
  <c r="AH100" i="4" s="1"/>
  <c r="AF100" i="4"/>
  <c r="AB109" i="4"/>
  <c r="Z109" i="4"/>
  <c r="AD109" i="4"/>
  <c r="AF109" i="4"/>
  <c r="AD98" i="4"/>
  <c r="AB98" i="4"/>
  <c r="Z98" i="4"/>
  <c r="AF98" i="4"/>
  <c r="Z119" i="4"/>
  <c r="AH119" i="4" s="1"/>
  <c r="AD119" i="4"/>
  <c r="AF119" i="4"/>
  <c r="AB119" i="4"/>
  <c r="AD99" i="4"/>
  <c r="AB99" i="4"/>
  <c r="Z99" i="4"/>
  <c r="AF99" i="4"/>
  <c r="Z117" i="4"/>
  <c r="AH117" i="4" s="1"/>
  <c r="AD117" i="4"/>
  <c r="AF117" i="4"/>
  <c r="AB117" i="4"/>
  <c r="AF106" i="4"/>
  <c r="AB106" i="4"/>
  <c r="Z106" i="4"/>
  <c r="AH106" i="4" s="1"/>
  <c r="AD106" i="4"/>
  <c r="AB112" i="4"/>
  <c r="Z112" i="4"/>
  <c r="AH112" i="4" s="1"/>
  <c r="AD112" i="4"/>
  <c r="AF112" i="4"/>
  <c r="AD92" i="4"/>
  <c r="AB92" i="4"/>
  <c r="Z92" i="4"/>
  <c r="AF92" i="4"/>
  <c r="Z118" i="4"/>
  <c r="AH118" i="4" s="1"/>
  <c r="AD118" i="4"/>
  <c r="AF118" i="4"/>
  <c r="AB118" i="4"/>
  <c r="AB114" i="4"/>
  <c r="Z114" i="4"/>
  <c r="AH114" i="4" s="1"/>
  <c r="AD114" i="4"/>
  <c r="AF114" i="4"/>
  <c r="AD85" i="4"/>
  <c r="AB85" i="4"/>
  <c r="Z85" i="4"/>
  <c r="AH85" i="4" s="1"/>
  <c r="AF85" i="4"/>
  <c r="AB110" i="4"/>
  <c r="Z110" i="4"/>
  <c r="AD110" i="4"/>
  <c r="AF110" i="4"/>
  <c r="AB130" i="4"/>
  <c r="Z130" i="4"/>
  <c r="AH130" i="4" s="1"/>
  <c r="AD130" i="4"/>
  <c r="AF130" i="4"/>
  <c r="AB111" i="4"/>
  <c r="Z111" i="4"/>
  <c r="AH111" i="4" s="1"/>
  <c r="AD111" i="4"/>
  <c r="AF111" i="4"/>
  <c r="AD120" i="4"/>
  <c r="AF120" i="4"/>
  <c r="AB120" i="4"/>
  <c r="Z120" i="4"/>
  <c r="AH120" i="4" s="1"/>
  <c r="AB115" i="4"/>
  <c r="Z115" i="4"/>
  <c r="AH115" i="4" s="1"/>
  <c r="AD115" i="4"/>
  <c r="AF115" i="4"/>
  <c r="AB108" i="4"/>
  <c r="Z108" i="4"/>
  <c r="AH108" i="4" s="1"/>
  <c r="AD108" i="4"/>
  <c r="AF108" i="4"/>
  <c r="AF88" i="4"/>
  <c r="AD88" i="4"/>
  <c r="AB88" i="4"/>
  <c r="Z88" i="4"/>
  <c r="AH88" i="4" s="1"/>
  <c r="AF123" i="4"/>
  <c r="AB123" i="4"/>
  <c r="Z123" i="4"/>
  <c r="AH123" i="4" s="1"/>
  <c r="AD123" i="4"/>
  <c r="AB131" i="4"/>
  <c r="Z131" i="4"/>
  <c r="AH131" i="4" s="1"/>
  <c r="AD131" i="4"/>
  <c r="AF131" i="4"/>
  <c r="AB127" i="4"/>
  <c r="Z127" i="4"/>
  <c r="AH127" i="4" s="1"/>
  <c r="AD127" i="4"/>
  <c r="AF127" i="4"/>
  <c r="AF121" i="4"/>
  <c r="AB121" i="4"/>
  <c r="Z121" i="4"/>
  <c r="AH121" i="4" s="1"/>
  <c r="AD121" i="4"/>
  <c r="AB113" i="4"/>
  <c r="Z113" i="4"/>
  <c r="AH113" i="4" s="1"/>
  <c r="AD113" i="4"/>
  <c r="AF113" i="4"/>
  <c r="AF107" i="4"/>
  <c r="AB107" i="4"/>
  <c r="Z107" i="4"/>
  <c r="AD107" i="4"/>
  <c r="AB126" i="4"/>
  <c r="Z126" i="4"/>
  <c r="AH126" i="4" s="1"/>
  <c r="AD126" i="4"/>
  <c r="AF126" i="4"/>
  <c r="AD96" i="4"/>
  <c r="AB96" i="4"/>
  <c r="Z96" i="4"/>
  <c r="AF96" i="4"/>
  <c r="Q139" i="4"/>
  <c r="S139" i="4"/>
  <c r="S141" i="4" s="1"/>
  <c r="P139" i="4"/>
  <c r="O139" i="4"/>
  <c r="G97" i="2" l="1"/>
  <c r="B12" i="15"/>
  <c r="B14" i="15" s="1"/>
  <c r="D23" i="7"/>
  <c r="B3" i="12" s="1"/>
  <c r="C20" i="7"/>
  <c r="G20" i="7" s="1"/>
  <c r="C20" i="8"/>
  <c r="E20" i="8" s="1"/>
  <c r="J26" i="7"/>
  <c r="I26" i="7"/>
  <c r="G26" i="7"/>
  <c r="H26" i="7"/>
  <c r="Q141" i="4"/>
  <c r="G353" i="1"/>
  <c r="G357" i="1" s="1"/>
  <c r="G349" i="1"/>
  <c r="H349" i="1"/>
  <c r="G350" i="1"/>
  <c r="G351" i="1" s="1"/>
  <c r="H350" i="1"/>
  <c r="D20" i="7"/>
  <c r="H20" i="7" s="1"/>
  <c r="H18" i="7"/>
  <c r="AD81" i="4"/>
  <c r="AF81" i="4"/>
  <c r="Z81" i="4"/>
  <c r="F20" i="7"/>
  <c r="J20" i="7" s="1"/>
  <c r="E14" i="8"/>
  <c r="E20" i="7"/>
  <c r="I20" i="7" s="1"/>
  <c r="E422" i="1"/>
  <c r="B29" i="7"/>
  <c r="F23" i="7"/>
  <c r="J23" i="7" s="1"/>
  <c r="E23" i="7"/>
  <c r="AB139" i="4"/>
  <c r="AB141" i="4" s="1"/>
  <c r="AD139" i="4"/>
  <c r="AF139" i="4"/>
  <c r="Z139" i="4"/>
  <c r="H23" i="7" l="1"/>
  <c r="H29" i="7"/>
  <c r="E30" i="7"/>
  <c r="E33" i="7" s="1"/>
  <c r="I23" i="7"/>
  <c r="G29" i="7"/>
  <c r="I29" i="7"/>
  <c r="J29" i="7"/>
  <c r="AF141" i="4"/>
  <c r="AD141" i="4"/>
  <c r="G337" i="1"/>
  <c r="G338" i="1"/>
  <c r="Z141" i="4"/>
  <c r="AH81" i="4"/>
  <c r="C23" i="8"/>
  <c r="F30" i="7"/>
  <c r="B30" i="7"/>
  <c r="R7" i="9" s="1"/>
  <c r="S7" i="9" s="1"/>
  <c r="G340" i="1" l="1"/>
  <c r="I30" i="7"/>
  <c r="H358" i="1"/>
  <c r="F33" i="7"/>
  <c r="J30" i="7"/>
  <c r="E23" i="8"/>
  <c r="E24" i="8" s="1"/>
  <c r="E26" i="8" s="1"/>
  <c r="C24" i="8"/>
  <c r="B33" i="7"/>
  <c r="F28" i="8" l="1"/>
  <c r="C26" i="8"/>
  <c r="F32" i="8"/>
  <c r="D24" i="7"/>
  <c r="B4" i="12" s="1"/>
  <c r="B11" i="12" s="1"/>
  <c r="H422" i="1"/>
  <c r="H24" i="7" l="1"/>
  <c r="D30" i="7"/>
  <c r="AH86" i="4"/>
  <c r="AH87" i="4"/>
  <c r="AH90" i="4"/>
  <c r="AH93" i="4"/>
  <c r="AH92" i="4"/>
  <c r="AH91" i="4"/>
  <c r="AH99" i="4"/>
  <c r="AH96" i="4"/>
  <c r="AH98" i="4"/>
  <c r="AH97" i="4"/>
  <c r="AH103" i="4"/>
  <c r="AH107" i="4"/>
  <c r="W141" i="4"/>
  <c r="G341" i="1"/>
  <c r="G348" i="1" s="1"/>
  <c r="AH110" i="4"/>
  <c r="AH109" i="4"/>
  <c r="R8" i="9" l="1"/>
  <c r="S8" i="9" s="1"/>
  <c r="F35" i="7" s="1"/>
  <c r="H30" i="7"/>
  <c r="D33" i="7"/>
  <c r="G358" i="1"/>
  <c r="C24" i="7" l="1"/>
  <c r="G24" i="7" s="1"/>
  <c r="G422" i="1"/>
  <c r="C30" i="7" l="1"/>
  <c r="G30" i="7" s="1"/>
  <c r="C33" i="7" l="1"/>
</calcChain>
</file>

<file path=xl/sharedStrings.xml><?xml version="1.0" encoding="utf-8"?>
<sst xmlns="http://schemas.openxmlformats.org/spreadsheetml/2006/main" count="2741" uniqueCount="1437">
  <si>
    <t>Dept Num</t>
  </si>
  <si>
    <t>Dept Desch</t>
  </si>
  <si>
    <t>Account Number</t>
  </si>
  <si>
    <t>Description</t>
  </si>
  <si>
    <t>21-22 Dept Request</t>
  </si>
  <si>
    <t>Mayor's Request</t>
  </si>
  <si>
    <t>BOAT</t>
  </si>
  <si>
    <t>BOA</t>
  </si>
  <si>
    <t>B.O.A.T.</t>
  </si>
  <si>
    <t>1-001-0200-11-111-0003</t>
  </si>
  <si>
    <t>AUDIT CLERK</t>
  </si>
  <si>
    <t>BUDGET CONSULTANT</t>
  </si>
  <si>
    <t>BOAT SECRETARY</t>
  </si>
  <si>
    <t>SETTLEMENT CONTINGENCY</t>
  </si>
  <si>
    <t>BOAT CONTINGENCY</t>
  </si>
  <si>
    <t>OTHER DEPARTMENT EXPENSES</t>
  </si>
  <si>
    <t>PANDEMIC EXPENSES</t>
  </si>
  <si>
    <t>200 Total</t>
  </si>
  <si>
    <t>City Government</t>
  </si>
  <si>
    <t>Total</t>
  </si>
  <si>
    <t>201 Total</t>
  </si>
  <si>
    <t>Elections</t>
  </si>
  <si>
    <t>MANDATED TRAINING</t>
  </si>
  <si>
    <t>MANDATORY STATE MEETINGS</t>
  </si>
  <si>
    <t>CANVASSING-MAIL</t>
  </si>
  <si>
    <t>SUPPLIES</t>
  </si>
  <si>
    <t>UNANTICIPATED PRIMARIES</t>
  </si>
  <si>
    <t>VOTING MACHINE STATE/NAT'L</t>
  </si>
  <si>
    <t>RENT POLLING STATIONS</t>
  </si>
  <si>
    <t>MEALS/POLLING STATIONS</t>
  </si>
  <si>
    <t>202 Total</t>
  </si>
  <si>
    <t xml:space="preserve"> </t>
  </si>
  <si>
    <t>220 Total</t>
  </si>
  <si>
    <t>ARMS</t>
  </si>
  <si>
    <t>WAGES-ARMS</t>
  </si>
  <si>
    <t>UNIFORMS</t>
  </si>
  <si>
    <t>CHIEFS EXPENSE ACCOUNT</t>
  </si>
  <si>
    <t>EMS TRAINING</t>
  </si>
  <si>
    <t>PERSONNEL/MEMBER MANAGEMENT</t>
  </si>
  <si>
    <t>VEHICLE MAINTENANCE</t>
  </si>
  <si>
    <t>EQUIP MAINTENANCE/TESTING</t>
  </si>
  <si>
    <t>EMS SUPPLIES</t>
  </si>
  <si>
    <t>OFFICE EQUIP DUPLICATOR</t>
  </si>
  <si>
    <t>GENERAL EQUIPMENT</t>
  </si>
  <si>
    <t>EPCR EQUIPMENT</t>
  </si>
  <si>
    <t>EMS EQUIPMENT</t>
  </si>
  <si>
    <t>COMMUNICATIONS EQUIPMENT</t>
  </si>
  <si>
    <t>COLLECTION FEES</t>
  </si>
  <si>
    <t>801 Total</t>
  </si>
  <si>
    <t>City Buildings</t>
  </si>
  <si>
    <t>City Contributions</t>
  </si>
  <si>
    <t>203 Total</t>
  </si>
  <si>
    <t>557 Total</t>
  </si>
  <si>
    <t>Street Lighting</t>
  </si>
  <si>
    <t>558 Total</t>
  </si>
  <si>
    <t>Waste Collection</t>
  </si>
  <si>
    <t>559 Total</t>
  </si>
  <si>
    <t>902 Total</t>
  </si>
  <si>
    <t>903 Total</t>
  </si>
  <si>
    <t>Social Security</t>
  </si>
  <si>
    <t>904 Total</t>
  </si>
  <si>
    <t>Retirement</t>
  </si>
  <si>
    <t>905 Total</t>
  </si>
  <si>
    <t>906 Total</t>
  </si>
  <si>
    <t>20-21 Dept BOA Final</t>
  </si>
  <si>
    <t>Employee Insurances</t>
  </si>
  <si>
    <t>Accruals - Sick/Vac</t>
  </si>
  <si>
    <t>MERF - Police</t>
  </si>
  <si>
    <t>MERF - City Employees</t>
  </si>
  <si>
    <t>Legal</t>
  </si>
  <si>
    <t>CLAIMS</t>
  </si>
  <si>
    <t>CORPORATION COUNSEL</t>
  </si>
  <si>
    <t>BLIGHT REMEDIATION</t>
  </si>
  <si>
    <t>217 Total</t>
  </si>
  <si>
    <t>Building Utilities</t>
  </si>
  <si>
    <t>560 Total</t>
  </si>
  <si>
    <t>211 Total</t>
  </si>
  <si>
    <t>212 Total</t>
  </si>
  <si>
    <t>214 Total</t>
  </si>
  <si>
    <t>216 Total</t>
  </si>
  <si>
    <t>301 Total</t>
  </si>
  <si>
    <t>302 Total</t>
  </si>
  <si>
    <t>400 Total</t>
  </si>
  <si>
    <t>401 Total</t>
  </si>
  <si>
    <t>Finance</t>
  </si>
  <si>
    <t>402 Total</t>
  </si>
  <si>
    <t>Engineering</t>
  </si>
  <si>
    <t>Land Use</t>
  </si>
  <si>
    <t>Ansonia Nature Center</t>
  </si>
  <si>
    <t xml:space="preserve">Debt Service </t>
  </si>
  <si>
    <t>Mayors Offices</t>
  </si>
  <si>
    <t>Emergency Operations Center</t>
  </si>
  <si>
    <t>Police</t>
  </si>
  <si>
    <t>Senior Center</t>
  </si>
  <si>
    <t>Fire Marshall</t>
  </si>
  <si>
    <t>Fire</t>
  </si>
  <si>
    <t>Information Technology</t>
  </si>
  <si>
    <t>403 Total</t>
  </si>
  <si>
    <t>Economic Development</t>
  </si>
  <si>
    <t>405 Toal</t>
  </si>
  <si>
    <t>Tax Collection</t>
  </si>
  <si>
    <t>420 Total</t>
  </si>
  <si>
    <t>Tax Assessor</t>
  </si>
  <si>
    <t>450 Total</t>
  </si>
  <si>
    <t>Public Works</t>
  </si>
  <si>
    <t>Library</t>
  </si>
  <si>
    <t>601 Total</t>
  </si>
  <si>
    <t>Recreation</t>
  </si>
  <si>
    <t>701 Total</t>
  </si>
  <si>
    <t>Board of Education</t>
  </si>
  <si>
    <t>Town &amp; City Clerk</t>
  </si>
  <si>
    <t>802 Total</t>
  </si>
  <si>
    <t>Municipal Grants</t>
  </si>
  <si>
    <t>850 Total</t>
  </si>
  <si>
    <t>Capital Expenditures</t>
  </si>
  <si>
    <t>875 Total</t>
  </si>
  <si>
    <t>Municipal Planning Comm.</t>
  </si>
  <si>
    <t>901 Total</t>
  </si>
  <si>
    <t>ENGINEERING WAGES</t>
  </si>
  <si>
    <t>CALL BEFORE YOU DIG</t>
  </si>
  <si>
    <t>FOUNTAIN LAKE DAM INSPECTION</t>
  </si>
  <si>
    <t>EXCAVATION PERMITS</t>
  </si>
  <si>
    <t>STORM WATER DISCHARGE PERMIT</t>
  </si>
  <si>
    <t>EXPENSE ACCOUNT</t>
  </si>
  <si>
    <t>LAND USE WAGES</t>
  </si>
  <si>
    <t>MANDATED CEU</t>
  </si>
  <si>
    <t>EDUCATION BLIGHT OFFICE</t>
  </si>
  <si>
    <t>STATE EDUCATIONAL FEE REIMB</t>
  </si>
  <si>
    <t>AUTO STIPEND</t>
  </si>
  <si>
    <t>SHERIFF FEES ETC</t>
  </si>
  <si>
    <t>OFFICE EQUIPMENT</t>
  </si>
  <si>
    <t>COMPUTER SOFTWARE</t>
  </si>
  <si>
    <t>DUES &amp; SUBSCRIPTIONS</t>
  </si>
  <si>
    <t>SMALL TOOL EQUIPMENT</t>
  </si>
  <si>
    <t>DEP FEES:PA 92-235</t>
  </si>
  <si>
    <t>NATURE CENTER WAGES</t>
  </si>
  <si>
    <t>AUTO EXPENSE</t>
  </si>
  <si>
    <t>OFFICE EQUIPMENT NATURE CENTER</t>
  </si>
  <si>
    <t>POSTAGE</t>
  </si>
  <si>
    <t>OFFICE SUPPLIES</t>
  </si>
  <si>
    <t>PRINTING EXPENSE</t>
  </si>
  <si>
    <t>BUILDING PROJECTS</t>
  </si>
  <si>
    <t>ANIMAL CARE AND PROGRAMS</t>
  </si>
  <si>
    <t>2018 BOND ISSUE(2016 REF)</t>
  </si>
  <si>
    <t>2018 BOND ISSUE (RDEMO)</t>
  </si>
  <si>
    <t>2019 BOND ISSUE-PRIN(PD)</t>
  </si>
  <si>
    <t>2018 BANS ISSUE-INTEREST(PD)</t>
  </si>
  <si>
    <t>STREET SWEEPER &amp; FT PUMPER</t>
  </si>
  <si>
    <t>2018 BOND ISSUE-INTEREST(2016 REF)</t>
  </si>
  <si>
    <t>2019 BOND ISSUE-INTEREST(PD)</t>
  </si>
  <si>
    <t>MAYOR SALARY</t>
  </si>
  <si>
    <t>MAYOR'S ADMINISTRATIVE AIDE</t>
  </si>
  <si>
    <t>EVENTS COORDINATOR</t>
  </si>
  <si>
    <t>SUMMER EMPLOYMENT</t>
  </si>
  <si>
    <t>SUMMER PROGRAM</t>
  </si>
  <si>
    <t>OFFICE TEMPORARIES</t>
  </si>
  <si>
    <t>REGISTRATIONS</t>
  </si>
  <si>
    <t>DIVERSITY TRAINING</t>
  </si>
  <si>
    <t>BOXING PROGRAM</t>
  </si>
  <si>
    <t>MISC EXPENSE</t>
  </si>
  <si>
    <t>VEHICLE LEASE</t>
  </si>
  <si>
    <t>TRAVEL</t>
  </si>
  <si>
    <t>EOC-CERTIFICATION</t>
  </si>
  <si>
    <t>EOC-CONTRACTED SERVICES</t>
  </si>
  <si>
    <t>CODE RED</t>
  </si>
  <si>
    <t>EOC SUPPLIES</t>
  </si>
  <si>
    <t>EOC EQUIPMENT</t>
  </si>
  <si>
    <t>CIVILIAN EMPLOYEES</t>
  </si>
  <si>
    <t>CHIEF OF POLICE SALARY</t>
  </si>
  <si>
    <t>LIEUTENANT SALARY</t>
  </si>
  <si>
    <t>DETECTIVES/SERGEANTS SALARY</t>
  </si>
  <si>
    <t>REGULAR PATROLMEN SALARY</t>
  </si>
  <si>
    <t>OVERTIME POLICE</t>
  </si>
  <si>
    <t>CLERK/BOARD OF POLICE COMMISSION</t>
  </si>
  <si>
    <t>PRIVATE DUTY EXPENSE</t>
  </si>
  <si>
    <t>POLICE SCHOOLS</t>
  </si>
  <si>
    <t>TRAINING</t>
  </si>
  <si>
    <t>COLLEGE CREDITS</t>
  </si>
  <si>
    <t>CLOTHING/REG.,DET.,SGTS.</t>
  </si>
  <si>
    <t>MEDIATION AWARD</t>
  </si>
  <si>
    <t>DEPT PROMOTIONAL TEST</t>
  </si>
  <si>
    <t>POLICE PHYSICALS</t>
  </si>
  <si>
    <t>CONTRACT SERVICES</t>
  </si>
  <si>
    <t>VEHICLE ACCIDENT ACCOUNT</t>
  </si>
  <si>
    <t>RADAR REPAIR</t>
  </si>
  <si>
    <t>POLICE CAR REPAIRS</t>
  </si>
  <si>
    <t>PORTABLE RADIOS</t>
  </si>
  <si>
    <t>TIRES:POLICE</t>
  </si>
  <si>
    <t>TRAFFIC CONTROL MAINT.</t>
  </si>
  <si>
    <t>COMPUTER MAINT</t>
  </si>
  <si>
    <t>SIGNS &amp; PAINTS</t>
  </si>
  <si>
    <t>TV CAMERA/PRISON CELL</t>
  </si>
  <si>
    <t>FURNITURE</t>
  </si>
  <si>
    <t>DETECTIVE BUREAU SUPPLIES</t>
  </si>
  <si>
    <t>POLICE PHOTOGRAPHY</t>
  </si>
  <si>
    <t>WEAPONS/TRAINING/AMMUNITION</t>
  </si>
  <si>
    <t>PROTECTIVE EQUIPMENT</t>
  </si>
  <si>
    <t>POLICE SUPPLIES</t>
  </si>
  <si>
    <t>SPECIAL OPERATIONS</t>
  </si>
  <si>
    <t>ANIMAL FUND EXPENSE (PREV DOG FUND)</t>
  </si>
  <si>
    <t>FINGERPRINT PERMITS</t>
  </si>
  <si>
    <t>DUES &amp; SUBSCRIPITIONS</t>
  </si>
  <si>
    <t>POLICE COMMRS EXPENSE ACCOUNT</t>
  </si>
  <si>
    <t>PETTY CASH</t>
  </si>
  <si>
    <t>SENIOR CENTER WAGES</t>
  </si>
  <si>
    <t>EQUIPMENT MAINTENANCE</t>
  </si>
  <si>
    <t>OTHER PROGRAMS</t>
  </si>
  <si>
    <t>TRANSPORTATION</t>
  </si>
  <si>
    <t>FOOD SUPPLIES</t>
  </si>
  <si>
    <t>FIRE MARSHALL WAGES</t>
  </si>
  <si>
    <t>FIRE MARSHALL EDUCATION</t>
  </si>
  <si>
    <t>FIRE PREVENTION</t>
  </si>
  <si>
    <t>FIRE MARSHALL CLOTHING</t>
  </si>
  <si>
    <t>FIRE MARSHALL AUTO</t>
  </si>
  <si>
    <t>FIRE MARSHALL SUPPLIES</t>
  </si>
  <si>
    <t>PHOTOGRAPHY SUPPLIES</t>
  </si>
  <si>
    <t>COMPUTER SYSTEM</t>
  </si>
  <si>
    <t>FIRE DEPARTMENT WAGES</t>
  </si>
  <si>
    <t>SECRETARY TO CHIEF</t>
  </si>
  <si>
    <t>AFD TRAINING</t>
  </si>
  <si>
    <t>FIRE TRAINING</t>
  </si>
  <si>
    <t>PROTECTIVE CLOTHING</t>
  </si>
  <si>
    <t>DRIVERS LICENSES &amp; NATIONAL</t>
  </si>
  <si>
    <t>FIREMEN PHYSICALS</t>
  </si>
  <si>
    <t>SNOW DUTY</t>
  </si>
  <si>
    <t>FIRE WATCH DUTY</t>
  </si>
  <si>
    <t>LADDER TESTING</t>
  </si>
  <si>
    <t>HOSE TESTING</t>
  </si>
  <si>
    <t>TOWER CERTIFICATION</t>
  </si>
  <si>
    <t>PUMP TESTING</t>
  </si>
  <si>
    <t>METER TESTING</t>
  </si>
  <si>
    <t>FIRE ALARM SYSTEM</t>
  </si>
  <si>
    <t>CARE OF APPARATUS</t>
  </si>
  <si>
    <t>CARE OF FIREHOUSES</t>
  </si>
  <si>
    <t>PREVENTIVE MAINTENANCE</t>
  </si>
  <si>
    <t>RADIO MAINT. &amp; REPAIR</t>
  </si>
  <si>
    <t>REPAIR/MAINT. SCOTT AIR PACK</t>
  </si>
  <si>
    <t>REPAIR TO APPARATUS</t>
  </si>
  <si>
    <t>FIRE POLICE EQUIPMENT</t>
  </si>
  <si>
    <t>NEW EQUIPMENT</t>
  </si>
  <si>
    <t>HAZARDOUS MATERIAL EQUIPT</t>
  </si>
  <si>
    <t>PAGERS</t>
  </si>
  <si>
    <t>FIRE DEPT OFFICE SUPPLIES</t>
  </si>
  <si>
    <t>GENERAL FIRE HOUSES</t>
  </si>
  <si>
    <t>FIRE MUSEUM EXPENSES</t>
  </si>
  <si>
    <t>RESCUE MAINT &amp; SUPPLY</t>
  </si>
  <si>
    <t>EMERGENCY FIRE SERVICE</t>
  </si>
  <si>
    <t>JUNIOR FIREFIGHTERS</t>
  </si>
  <si>
    <t>FINANCE WAGES</t>
  </si>
  <si>
    <t>CITY TREASURER SALARY</t>
  </si>
  <si>
    <t>OVERTIME</t>
  </si>
  <si>
    <t>GASB 43/45</t>
  </si>
  <si>
    <t>ANNUAL AUDIT</t>
  </si>
  <si>
    <t>PENSION AUDIT</t>
  </si>
  <si>
    <t>PAYROLL SERVICE FEE</t>
  </si>
  <si>
    <t>PUBLICATIONS</t>
  </si>
  <si>
    <t>IT MANAGER</t>
  </si>
  <si>
    <t>EDUCATION - DATA PROCESSING</t>
  </si>
  <si>
    <t>INTERDEPT COMMUNICATIONS</t>
  </si>
  <si>
    <t>TELEPHONES/CITY HALL</t>
  </si>
  <si>
    <t>MAINTENANCE CONTRACTS</t>
  </si>
  <si>
    <t>COMPUTER SERVICE</t>
  </si>
  <si>
    <t>NEW FINANCIAL SOFTWARE</t>
  </si>
  <si>
    <t>SOCIAL MEDIA COORDINATOR</t>
  </si>
  <si>
    <t>EDUCATION AND TRAINING</t>
  </si>
  <si>
    <t>PROFESSIONAL SERVICES</t>
  </si>
  <si>
    <t>WEB SITE MAINT.</t>
  </si>
  <si>
    <t>TRAVEL EXPENSE</t>
  </si>
  <si>
    <t>MARKETING MATERIAL</t>
  </si>
  <si>
    <t>DUES AND MEMBERSHIPS</t>
  </si>
  <si>
    <t>EDUCATION</t>
  </si>
  <si>
    <t>TAX OFFICE TRAVEL</t>
  </si>
  <si>
    <t>TAX BILLS PRINTING</t>
  </si>
  <si>
    <t>DUES, FEES, AND MEETINGS</t>
  </si>
  <si>
    <t>TAX REFUNDS</t>
  </si>
  <si>
    <t>ASSESSOR WAGES</t>
  </si>
  <si>
    <t>EDUCATION MEETINGS AND CONFERENCES</t>
  </si>
  <si>
    <t>PRINTING</t>
  </si>
  <si>
    <t>PROFESSIONAL MANUALS</t>
  </si>
  <si>
    <t>WAGES</t>
  </si>
  <si>
    <t>WAGES-SEASONAL HELP</t>
  </si>
  <si>
    <t>EXAMS</t>
  </si>
  <si>
    <t>CURB SIDE REFUSE PICKUP</t>
  </si>
  <si>
    <t>RECYCLING PROGRAM</t>
  </si>
  <si>
    <t>HAUL-AWAY REFUSE</t>
  </si>
  <si>
    <t>BUILDING REPAIRS</t>
  </si>
  <si>
    <t>EQUIPMENT REPAIRS</t>
  </si>
  <si>
    <t>PARKS &amp; STREETS REPAIRS</t>
  </si>
  <si>
    <t>WALKS/CURBS/GUTTERS</t>
  </si>
  <si>
    <t>BUILDING MAINT.</t>
  </si>
  <si>
    <t>EQUIPMENT MAINT.</t>
  </si>
  <si>
    <t>PARKS &amp; STREETS MAINT.</t>
  </si>
  <si>
    <t>GASOLINE &amp; MOTOR OIL</t>
  </si>
  <si>
    <t>SAND/SALT SUPPLIES</t>
  </si>
  <si>
    <t>BUILDING SUPPLIES</t>
  </si>
  <si>
    <t>PARK &amp; STREET SUPPLIES</t>
  </si>
  <si>
    <t>GENERAL SUPPLIES</t>
  </si>
  <si>
    <t>LAND FILL</t>
  </si>
  <si>
    <t>CONTRACTUAL SERVICES</t>
  </si>
  <si>
    <t>MEAL ALLOWANCE DURING STORMS</t>
  </si>
  <si>
    <t>LIBRARY WAGES</t>
  </si>
  <si>
    <t>OVERTIME/SHIFT DIFFERENTIAL</t>
  </si>
  <si>
    <t>HVAC MAINTENANCE/REPAIR</t>
  </si>
  <si>
    <t>BUILDING</t>
  </si>
  <si>
    <t>MAINTENANCE</t>
  </si>
  <si>
    <t>BIBLIOMATION</t>
  </si>
  <si>
    <t>LAN SUPPORT PROGRAMS</t>
  </si>
  <si>
    <t>FIXED CHARGES</t>
  </si>
  <si>
    <t>LIBRARY SUPPLIES</t>
  </si>
  <si>
    <t>ASSOCIATION FEES</t>
  </si>
  <si>
    <t>BOOKS</t>
  </si>
  <si>
    <t>PERIODICALS &amp; RECORDS</t>
  </si>
  <si>
    <t>AUDIO-VISUAL MATERIALS</t>
  </si>
  <si>
    <t>NEW PROGRAMS</t>
  </si>
  <si>
    <t>DIRECTOR</t>
  </si>
  <si>
    <t>BASKETBALL</t>
  </si>
  <si>
    <t>A.Y.FOOTBALL</t>
  </si>
  <si>
    <t>LITTLE LEAGUE</t>
  </si>
  <si>
    <t>SOCCER</t>
  </si>
  <si>
    <t>GIRLS SOFTBALL</t>
  </si>
  <si>
    <t>RECREATION-PROGRAMS</t>
  </si>
  <si>
    <t>AY CHEERLEADING</t>
  </si>
  <si>
    <t>EDUCATIONAL EXPENSES</t>
  </si>
  <si>
    <t>EDUCATION EXPENSES</t>
  </si>
  <si>
    <t>OFFICE EQUIPMENT/MAINT.</t>
  </si>
  <si>
    <t>COPIER MAINTENANCE</t>
  </si>
  <si>
    <t>EXAM. GRANTOR GRANTS INDEX</t>
  </si>
  <si>
    <t>COTT INDEX SYSTEM</t>
  </si>
  <si>
    <t>VITAL STATISTICS REPORTS</t>
  </si>
  <si>
    <t>CHARTER AND CODE PRINTING</t>
  </si>
  <si>
    <t>ANNUAL REPORTS</t>
  </si>
  <si>
    <t>MICROFILMING LAND RECORDS</t>
  </si>
  <si>
    <t>CITY DIRECTORIES</t>
  </si>
  <si>
    <t>COPIER SUPPLIES</t>
  </si>
  <si>
    <t>BINDERS</t>
  </si>
  <si>
    <t>ABSENTEE BALLOT PRINTING</t>
  </si>
  <si>
    <t>POSTAGE LEASE</t>
  </si>
  <si>
    <t>Y.S.B. 50/50 EXPENDITURES</t>
  </si>
  <si>
    <t>CAT POUND/ANIMAL SHELTER RENOVATIONS</t>
  </si>
  <si>
    <t>FIRE MARSHALL VEHICLE</t>
  </si>
  <si>
    <t>PLANNING CONSULTANT</t>
  </si>
  <si>
    <t>CODE UPDATE</t>
  </si>
  <si>
    <t>SICK/VACATION TIME ACCRUAL</t>
  </si>
  <si>
    <t>GRANT WRITER</t>
  </si>
  <si>
    <t>LEGAL</t>
  </si>
  <si>
    <t>EMPLOYEE OPT-OUT</t>
  </si>
  <si>
    <t>MEDICAL COSTS ACCRUAL</t>
  </si>
  <si>
    <t>DENTAL PLAN</t>
  </si>
  <si>
    <t>LIFE INSURANCE</t>
  </si>
  <si>
    <t>PENSION-OLD CITY</t>
  </si>
  <si>
    <t>SOCIAL SECURITY</t>
  </si>
  <si>
    <t>WORKMEN'S COMPENSATION</t>
  </si>
  <si>
    <t>UNEMPLOYMENT COMPENSATION</t>
  </si>
  <si>
    <t>COMMERCIAL BUSINESS PACKAGE</t>
  </si>
  <si>
    <t>SUPERINTENDANT/VET GRAVES/FLAGS</t>
  </si>
  <si>
    <t>PERSONNEL ADMIN</t>
  </si>
  <si>
    <t>BOARD OF ALDERMAN SECRETARY</t>
  </si>
  <si>
    <t>INLAND-WETLAND SECRETARY</t>
  </si>
  <si>
    <t>BOARD OF ZONING APPEALS SECRETARY</t>
  </si>
  <si>
    <t>ZONING SECRETARY</t>
  </si>
  <si>
    <t>BOARD OF TAX REVIEW</t>
  </si>
  <si>
    <t>1-001-0201-11-130-0014</t>
  </si>
  <si>
    <t>HISTORIC DISTRICT COMMISSION</t>
  </si>
  <si>
    <t>ELECTRICITY</t>
  </si>
  <si>
    <t>WATER</t>
  </si>
  <si>
    <t>GAS</t>
  </si>
  <si>
    <t>OIL</t>
  </si>
  <si>
    <t>PROBATE COURT-CITY SHARE</t>
  </si>
  <si>
    <t>TEAM</t>
  </si>
  <si>
    <t>1-001-0201-11-570-0002</t>
  </si>
  <si>
    <t>VASAAC-BH CARE</t>
  </si>
  <si>
    <t>1-001-0201-11-570-0003</t>
  </si>
  <si>
    <t>PARENT/CHILD RESOURCE</t>
  </si>
  <si>
    <t>BOYS &amp; GIRLS CLUB OF LNV</t>
  </si>
  <si>
    <t>VALLEY TRANSIT DISTRICT</t>
  </si>
  <si>
    <t>1-001-0201-11-570-0006</t>
  </si>
  <si>
    <t>RAPE CRISIS CENTER</t>
  </si>
  <si>
    <t>VALLEY COUN OF GOVTS</t>
  </si>
  <si>
    <t>DERBY HISTORICAL SOCIETY</t>
  </si>
  <si>
    <t>CONN CONFERENCE OF MUNCIP</t>
  </si>
  <si>
    <t>SOUTHWEST CONSERVATION DISTRICT</t>
  </si>
  <si>
    <t>HOUSATONIC VALLEY ASSOCIATION</t>
  </si>
  <si>
    <t>1-001-0201-11-570-0018</t>
  </si>
  <si>
    <t>ANSONIA HISTORIC COMMISSION</t>
  </si>
  <si>
    <t>BOY SCOUTS OF AMERICA</t>
  </si>
  <si>
    <t>VEMS</t>
  </si>
  <si>
    <t>VETS CHRISTMAS FUND</t>
  </si>
  <si>
    <t>1-001-0201-11-570-0026</t>
  </si>
  <si>
    <t>BIRMINGHAM GROUP</t>
  </si>
  <si>
    <t>POSTAGE ALL CITY OFFICES</t>
  </si>
  <si>
    <t>CULTURAL COMM EXPENSES</t>
  </si>
  <si>
    <t>SUPPLIES ALL CITY OFFICES</t>
  </si>
  <si>
    <t>LEGAL NOTICES</t>
  </si>
  <si>
    <t>MEMORIAL DAY ASSOC</t>
  </si>
  <si>
    <t>C-MED SERVICES</t>
  </si>
  <si>
    <t>VALLEY HEALTH DISTRICT</t>
  </si>
  <si>
    <t>REGIONAL MENTAL HEALTH</t>
  </si>
  <si>
    <t>TOTAL EXPENSES</t>
  </si>
  <si>
    <t>DEPT NUM</t>
  </si>
  <si>
    <t>DEPT DESC</t>
  </si>
  <si>
    <t>ACCCOUNT NUMBER</t>
  </si>
  <si>
    <t>DESCRIPTION</t>
  </si>
  <si>
    <t>Taxes</t>
  </si>
  <si>
    <t>T A X E S</t>
  </si>
  <si>
    <t>PRIOR YEAR TAXES COLLECTED</t>
  </si>
  <si>
    <t>MOTOR VEHICLE SUPPLEMENT</t>
  </si>
  <si>
    <t>TAX OVER- PAYMENTS</t>
  </si>
  <si>
    <t>TAXSERV FEES</t>
  </si>
  <si>
    <t>ADULT EDUCATION TUITION</t>
  </si>
  <si>
    <t>NON PUBLIC HEALTH AND WELFARE</t>
  </si>
  <si>
    <t>EDUCATION EQUALIZER</t>
  </si>
  <si>
    <t>State Grants</t>
  </si>
  <si>
    <t>TELECOMMUNICATION PROPERTY TAX</t>
  </si>
  <si>
    <t>PA SPEC VET EXEMPTION</t>
  </si>
  <si>
    <t>DISABLED EXEMPTIONS</t>
  </si>
  <si>
    <t>PILOT STATE PROPERTY TAX</t>
  </si>
  <si>
    <t>MASHANTUCKET FUND</t>
  </si>
  <si>
    <t>DISTRESSED MUNICIPALITIES</t>
  </si>
  <si>
    <t>TOWN ROAD AID</t>
  </si>
  <si>
    <t>LOCAL CAPITAL INFRA PROGRAM</t>
  </si>
  <si>
    <t>MUNICIPAL PROJECTS</t>
  </si>
  <si>
    <t>YOUTH SERVICE BUREAU</t>
  </si>
  <si>
    <t>PLANNING &amp; ZONING</t>
  </si>
  <si>
    <t>ZONING ENFORCEMENT FEES</t>
  </si>
  <si>
    <t>BLIGHT FEES</t>
  </si>
  <si>
    <t>CITY-OTHER INCOME(RELOCATION,ETC)</t>
  </si>
  <si>
    <t>POSTAGE REIM FROM PROBATE</t>
  </si>
  <si>
    <t>POLICE MISCELLANEOUS</t>
  </si>
  <si>
    <t>Current Charges</t>
  </si>
  <si>
    <t>BUILDING DEPARTMENT FEES</t>
  </si>
  <si>
    <t>REFUSE DUMPING FEES</t>
  </si>
  <si>
    <t>INLAND WETLAND FEE</t>
  </si>
  <si>
    <t>ANIMAL FUND (PREV DOG FUND)</t>
  </si>
  <si>
    <t>PROBATE COURT RENTAL</t>
  </si>
  <si>
    <t>HILLTOP WATER LINE ASSESSMENT</t>
  </si>
  <si>
    <t>FIRE MARSHALL FEES</t>
  </si>
  <si>
    <t>OTHER DEPARTMENT REVENUE</t>
  </si>
  <si>
    <t>VACANT PROPERTY REGISTRATION</t>
  </si>
  <si>
    <t>AMEX CREDIT CARD REDEMPTION POINT REVENUE</t>
  </si>
  <si>
    <t>PILOT-AHA</t>
  </si>
  <si>
    <t>METAL RECYCLING CREDIT (CALAMARI)</t>
  </si>
  <si>
    <t>RENTAL INCOME-ATP BLDG</t>
  </si>
  <si>
    <t>RENTAL INCOME-WORKPLACE BUILDING</t>
  </si>
  <si>
    <t>RENTAL INCOME-RED WING HOUSE</t>
  </si>
  <si>
    <t>NATURE CENTER PROGRAM FEES</t>
  </si>
  <si>
    <t>CULTURAL COMM REVENUE</t>
  </si>
  <si>
    <t>REG BASKETBALL</t>
  </si>
  <si>
    <t>RECREATION- ONGOING PROGRAMS</t>
  </si>
  <si>
    <t>SUMMER CAMP FEES</t>
  </si>
  <si>
    <t>PRIVATE DUTY FEES</t>
  </si>
  <si>
    <t>POLICE FINES</t>
  </si>
  <si>
    <t>POLICE OVERTIME REVENUE</t>
  </si>
  <si>
    <t>POLICE PROMOTIONAL TESTING</t>
  </si>
  <si>
    <t>SPECIAL OPERATIONS PD SEIZED ITEMS</t>
  </si>
  <si>
    <t>INSURANCE REFUNDS &amp; DIVIDENDS</t>
  </si>
  <si>
    <t>EARNED INTEREST --S T I F</t>
  </si>
  <si>
    <t>AMBULANCE COLLECTION</t>
  </si>
  <si>
    <t>MISCELLANEOUS INCOME</t>
  </si>
  <si>
    <t>FUND BALANCE AS INCOME</t>
  </si>
  <si>
    <t>FIRE WATCH DUTY FEES</t>
  </si>
  <si>
    <t>EARNED INTEREST-WEBSTER BANK</t>
  </si>
  <si>
    <t>DONATIONS REVENUE</t>
  </si>
  <si>
    <t>WPCA ADMIN ALLOCATION</t>
  </si>
  <si>
    <t>PROCEEDS FR 2016 REF BOND PREM</t>
  </si>
  <si>
    <t>Grand Total</t>
  </si>
  <si>
    <t>20-21 Revenue</t>
  </si>
  <si>
    <t>MAYOR'S REQUEST</t>
  </si>
  <si>
    <t>21-22 DEPT REQUEST</t>
  </si>
  <si>
    <t>Long Term Capital Plan</t>
  </si>
  <si>
    <t>Forecasted 5 Year Total</t>
  </si>
  <si>
    <t>Road Reconstruction</t>
  </si>
  <si>
    <t>Building Repair Fund</t>
  </si>
  <si>
    <t>Fire Marshal</t>
  </si>
  <si>
    <t>Budget FY      2021-2022</t>
  </si>
  <si>
    <t xml:space="preserve"> Forecast FY 2022-2023</t>
  </si>
  <si>
    <t>Forecast  FY 2023-2024</t>
  </si>
  <si>
    <t>Forecast FY 2024-2025</t>
  </si>
  <si>
    <t>Forecast FY 2025-2026</t>
  </si>
  <si>
    <t>2021 BOND ISSUE-INTEREST(PD)</t>
  </si>
  <si>
    <t>2021 BOND ISSUE-PRIN(PD)</t>
  </si>
  <si>
    <t>ENGINEERING ASSISTANT</t>
  </si>
  <si>
    <t>DIRECTOR OF CONSTITUENT SERVICES</t>
  </si>
  <si>
    <t>AUCTION EXPENSE</t>
  </si>
  <si>
    <t>REVALUATION FUND</t>
  </si>
  <si>
    <t>REOCCURING FLEET REPLACEMENT</t>
  </si>
  <si>
    <t>FIRE DEPARTMENT/ARMS</t>
  </si>
  <si>
    <t>CYBER LIABILITY</t>
  </si>
  <si>
    <t>Department</t>
  </si>
  <si>
    <t>Position</t>
  </si>
  <si>
    <t>Union</t>
  </si>
  <si>
    <t>Hours Worked Per Week</t>
  </si>
  <si>
    <t>Annual Health Insurance Cost</t>
  </si>
  <si>
    <t>Health Insurance Opt Out</t>
  </si>
  <si>
    <t>Sick Days</t>
  </si>
  <si>
    <t>Sick Days Value</t>
  </si>
  <si>
    <t>Vacation Days</t>
  </si>
  <si>
    <t>Vacation Days Value</t>
  </si>
  <si>
    <t>Personal Days</t>
  </si>
  <si>
    <t>Personal Days Value</t>
  </si>
  <si>
    <t>CFO</t>
  </si>
  <si>
    <t>Weekly Pay</t>
  </si>
  <si>
    <t>Daily Pay</t>
  </si>
  <si>
    <t>Annual Pay</t>
  </si>
  <si>
    <t>Last Name</t>
  </si>
  <si>
    <t>First Name</t>
  </si>
  <si>
    <t>Miller</t>
  </si>
  <si>
    <t>Kurt</t>
  </si>
  <si>
    <t>Molina</t>
  </si>
  <si>
    <t>Cristina</t>
  </si>
  <si>
    <t>Mayor's Office</t>
  </si>
  <si>
    <t>Admin Asst</t>
  </si>
  <si>
    <t>Martin</t>
  </si>
  <si>
    <t>Greg</t>
  </si>
  <si>
    <t>Const. Services</t>
  </si>
  <si>
    <t>Cassetti</t>
  </si>
  <si>
    <t>Dave</t>
  </si>
  <si>
    <t>Mayor</t>
  </si>
  <si>
    <t>Figueroa</t>
  </si>
  <si>
    <t>Johanna</t>
  </si>
  <si>
    <t>Tax Collector</t>
  </si>
  <si>
    <t>Caulfield</t>
  </si>
  <si>
    <t>Gloria</t>
  </si>
  <si>
    <t>Ast. Tax Collector</t>
  </si>
  <si>
    <t>Teamsters</t>
  </si>
  <si>
    <t>DeStefano</t>
  </si>
  <si>
    <t>Kim</t>
  </si>
  <si>
    <t>Asst. Comptroller</t>
  </si>
  <si>
    <t>Jesulaitis</t>
  </si>
  <si>
    <t>Fran</t>
  </si>
  <si>
    <t>Account Tech</t>
  </si>
  <si>
    <t>Union Grade</t>
  </si>
  <si>
    <t>Andretta</t>
  </si>
  <si>
    <t>Anna</t>
  </si>
  <si>
    <t>Accts Payable</t>
  </si>
  <si>
    <t>Nicolari</t>
  </si>
  <si>
    <t>Judy</t>
  </si>
  <si>
    <t>Treasurer</t>
  </si>
  <si>
    <t>Bshara</t>
  </si>
  <si>
    <t>Rich</t>
  </si>
  <si>
    <t>BoAT Auditor</t>
  </si>
  <si>
    <t>O'Malley</t>
  </si>
  <si>
    <t>Sheila</t>
  </si>
  <si>
    <t>ED/Grants</t>
  </si>
  <si>
    <t>ED Director</t>
  </si>
  <si>
    <t>Connelly</t>
  </si>
  <si>
    <t>David</t>
  </si>
  <si>
    <t>IT</t>
  </si>
  <si>
    <t>IT Director</t>
  </si>
  <si>
    <t>St. Jacques</t>
  </si>
  <si>
    <t>Rita</t>
  </si>
  <si>
    <t>WPCA</t>
  </si>
  <si>
    <t>WPCA Admin</t>
  </si>
  <si>
    <t>UPSEU</t>
  </si>
  <si>
    <t>DeLibro</t>
  </si>
  <si>
    <t>Tracy</t>
  </si>
  <si>
    <t>Clerk</t>
  </si>
  <si>
    <t>Graybosch</t>
  </si>
  <si>
    <t>Casubolo</t>
  </si>
  <si>
    <t>Dayna</t>
  </si>
  <si>
    <t>Ast. to Assessor</t>
  </si>
  <si>
    <t>Porrini</t>
  </si>
  <si>
    <t>Ronda</t>
  </si>
  <si>
    <t>Building</t>
  </si>
  <si>
    <t>Administrator</t>
  </si>
  <si>
    <t>Blackwell</t>
  </si>
  <si>
    <t>Enforcement</t>
  </si>
  <si>
    <t>Franco</t>
  </si>
  <si>
    <t>Kelly</t>
  </si>
  <si>
    <t>Holman, Jr.</t>
  </si>
  <si>
    <t>Tim</t>
  </si>
  <si>
    <t>Custodian</t>
  </si>
  <si>
    <t>Maffeo</t>
  </si>
  <si>
    <t>Tom</t>
  </si>
  <si>
    <t>Registrar</t>
  </si>
  <si>
    <t xml:space="preserve">Papcin </t>
  </si>
  <si>
    <t>Lynch</t>
  </si>
  <si>
    <t>Beth</t>
  </si>
  <si>
    <t>Town Clerk</t>
  </si>
  <si>
    <t>Branch</t>
  </si>
  <si>
    <t>Diana</t>
  </si>
  <si>
    <t>Ast. Town Clerk</t>
  </si>
  <si>
    <t>Silva</t>
  </si>
  <si>
    <t>Jan</t>
  </si>
  <si>
    <t>A6</t>
  </si>
  <si>
    <t>OT-9</t>
  </si>
  <si>
    <t>A5</t>
  </si>
  <si>
    <t>OT-8</t>
  </si>
  <si>
    <t>Lester</t>
  </si>
  <si>
    <t>Jennifer</t>
  </si>
  <si>
    <t>Director</t>
  </si>
  <si>
    <t>Capone</t>
  </si>
  <si>
    <t>MaryAnn</t>
  </si>
  <si>
    <t>Levine</t>
  </si>
  <si>
    <t>Cataloger</t>
  </si>
  <si>
    <t>Lugo-Sullivan</t>
  </si>
  <si>
    <t>Marisol</t>
  </si>
  <si>
    <t>Fitol</t>
  </si>
  <si>
    <t>Janet</t>
  </si>
  <si>
    <t>Children's Librarian</t>
  </si>
  <si>
    <t>Gutman</t>
  </si>
  <si>
    <t>Pat</t>
  </si>
  <si>
    <t>Rubelman</t>
  </si>
  <si>
    <t>Allison</t>
  </si>
  <si>
    <t>Nature Center</t>
  </si>
  <si>
    <t>Sabol</t>
  </si>
  <si>
    <t>Wendy</t>
  </si>
  <si>
    <t>Asst. Director</t>
  </si>
  <si>
    <t>Dalessio</t>
  </si>
  <si>
    <t>Mike</t>
  </si>
  <si>
    <t>DPW</t>
  </si>
  <si>
    <t>Rowley</t>
  </si>
  <si>
    <t>Sean</t>
  </si>
  <si>
    <t>Parks Foreman</t>
  </si>
  <si>
    <t>Eheman</t>
  </si>
  <si>
    <t>Bldg Foreman</t>
  </si>
  <si>
    <t xml:space="preserve">Holman </t>
  </si>
  <si>
    <t>Scale Operator</t>
  </si>
  <si>
    <t>Vartales</t>
  </si>
  <si>
    <t>Jim</t>
  </si>
  <si>
    <t>Scale Attendant</t>
  </si>
  <si>
    <t>Mechanic</t>
  </si>
  <si>
    <t>Zawisza</t>
  </si>
  <si>
    <t>Darlene</t>
  </si>
  <si>
    <t>Tomasella</t>
  </si>
  <si>
    <t xml:space="preserve">John </t>
  </si>
  <si>
    <t>Shift Supervisor</t>
  </si>
  <si>
    <t>Capozzi</t>
  </si>
  <si>
    <t>Brian</t>
  </si>
  <si>
    <t>Superintendant</t>
  </si>
  <si>
    <t>Jason</t>
  </si>
  <si>
    <t>Lundeen</t>
  </si>
  <si>
    <t>Darrick</t>
  </si>
  <si>
    <t xml:space="preserve">Heon </t>
  </si>
  <si>
    <t>Jared</t>
  </si>
  <si>
    <t>Chief</t>
  </si>
  <si>
    <t>Labaire</t>
  </si>
  <si>
    <t>Dawn</t>
  </si>
  <si>
    <t>Exec Assistant</t>
  </si>
  <si>
    <t>Sara</t>
  </si>
  <si>
    <t>Barnett</t>
  </si>
  <si>
    <t>Adrienne</t>
  </si>
  <si>
    <t>Records Tech</t>
  </si>
  <si>
    <t>Roslonowski</t>
  </si>
  <si>
    <t>Jean</t>
  </si>
  <si>
    <t>ACO</t>
  </si>
  <si>
    <t>Patricia</t>
  </si>
  <si>
    <t>Dispatch</t>
  </si>
  <si>
    <t>Patterson</t>
  </si>
  <si>
    <t>Scott</t>
  </si>
  <si>
    <t>Awalt</t>
  </si>
  <si>
    <t>Dionne</t>
  </si>
  <si>
    <t>Elizabeth</t>
  </si>
  <si>
    <t>Adcox</t>
  </si>
  <si>
    <t>Stephen</t>
  </si>
  <si>
    <t>Detective</t>
  </si>
  <si>
    <t>Harte</t>
  </si>
  <si>
    <t>Orlando</t>
  </si>
  <si>
    <t>Vincent</t>
  </si>
  <si>
    <t>Sergeant</t>
  </si>
  <si>
    <t>Pella</t>
  </si>
  <si>
    <t>Flynn</t>
  </si>
  <si>
    <t>Christopher</t>
  </si>
  <si>
    <t>Landona</t>
  </si>
  <si>
    <t>Philip</t>
  </si>
  <si>
    <t>Patrol</t>
  </si>
  <si>
    <t xml:space="preserve">Cota </t>
  </si>
  <si>
    <t>Andy</t>
  </si>
  <si>
    <t>Magera</t>
  </si>
  <si>
    <t>Edward</t>
  </si>
  <si>
    <t>Frolish</t>
  </si>
  <si>
    <t>James</t>
  </si>
  <si>
    <t>Williams</t>
  </si>
  <si>
    <t>Wayne</t>
  </si>
  <si>
    <t>Lieutenant</t>
  </si>
  <si>
    <t>Patrick</t>
  </si>
  <si>
    <t>Sturges</t>
  </si>
  <si>
    <t>Eric</t>
  </si>
  <si>
    <t>Esposito</t>
  </si>
  <si>
    <t>Richard</t>
  </si>
  <si>
    <t>Barry</t>
  </si>
  <si>
    <t>Michael</t>
  </si>
  <si>
    <t>Smith</t>
  </si>
  <si>
    <t>Paul</t>
  </si>
  <si>
    <t>Henry</t>
  </si>
  <si>
    <t>McMahon</t>
  </si>
  <si>
    <t>Barreira</t>
  </si>
  <si>
    <t>Alexander</t>
  </si>
  <si>
    <t>Sterling</t>
  </si>
  <si>
    <t>Troesser</t>
  </si>
  <si>
    <t>Jonathan</t>
  </si>
  <si>
    <t>Diaz</t>
  </si>
  <si>
    <t>Matthew</t>
  </si>
  <si>
    <t>Oksenberg</t>
  </si>
  <si>
    <t>Bernard</t>
  </si>
  <si>
    <t>Castillo</t>
  </si>
  <si>
    <t>Edwards</t>
  </si>
  <si>
    <t>Clifford</t>
  </si>
  <si>
    <t>Mark</t>
  </si>
  <si>
    <t>Nelson</t>
  </si>
  <si>
    <t>Lovermi</t>
  </si>
  <si>
    <t>Peter</t>
  </si>
  <si>
    <t>Kelley</t>
  </si>
  <si>
    <t>Soares</t>
  </si>
  <si>
    <t>Paulo</t>
  </si>
  <si>
    <t>Young</t>
  </si>
  <si>
    <t>Mendenhall</t>
  </si>
  <si>
    <t>Shawn</t>
  </si>
  <si>
    <t>Cannizzio</t>
  </si>
  <si>
    <t>Pereira</t>
  </si>
  <si>
    <t>Joseph</t>
  </si>
  <si>
    <t>Podgorski</t>
  </si>
  <si>
    <t>Fagan</t>
  </si>
  <si>
    <t>Timothy</t>
  </si>
  <si>
    <t>Fowler</t>
  </si>
  <si>
    <t>Brandon</t>
  </si>
  <si>
    <t>Kanavy</t>
  </si>
  <si>
    <t>Semeraro</t>
  </si>
  <si>
    <t>Kathryn</t>
  </si>
  <si>
    <t>Peet</t>
  </si>
  <si>
    <t>Kristin</t>
  </si>
  <si>
    <t>Coppola</t>
  </si>
  <si>
    <t>Jeff</t>
  </si>
  <si>
    <t>z</t>
  </si>
  <si>
    <t>Hire Date</t>
  </si>
  <si>
    <t>FOP</t>
  </si>
  <si>
    <t>Hourly Rate 01/01/2022-06/30/2022</t>
  </si>
  <si>
    <t>Hourly Rate 07/1/2021-12/31/2021</t>
  </si>
  <si>
    <t>Pay 07/01/2021-12/31/2021</t>
  </si>
  <si>
    <t>Pay 01/01/2021-06/30/2022</t>
  </si>
  <si>
    <t>Billings</t>
  </si>
  <si>
    <t>Jeffrey</t>
  </si>
  <si>
    <t>Boanno</t>
  </si>
  <si>
    <t>Marcello</t>
  </si>
  <si>
    <t>Czajkowski</t>
  </si>
  <si>
    <t>Danley, Jr.</t>
  </si>
  <si>
    <t>Harry</t>
  </si>
  <si>
    <t>Devlin</t>
  </si>
  <si>
    <t>Divincenzo</t>
  </si>
  <si>
    <t>Dodge</t>
  </si>
  <si>
    <t>Donofrio</t>
  </si>
  <si>
    <t>Douglas</t>
  </si>
  <si>
    <t>Kente</t>
  </si>
  <si>
    <t>Dziubina</t>
  </si>
  <si>
    <t>Goggins</t>
  </si>
  <si>
    <t>Kershaw, Sr.</t>
  </si>
  <si>
    <t>Daniel</t>
  </si>
  <si>
    <t>Lombard</t>
  </si>
  <si>
    <t>Maida Jr.</t>
  </si>
  <si>
    <t>Louis</t>
  </si>
  <si>
    <t>Marino</t>
  </si>
  <si>
    <t>Martin, Jr.</t>
  </si>
  <si>
    <t>Wilby</t>
  </si>
  <si>
    <t>Maynard</t>
  </si>
  <si>
    <t>Tyrone</t>
  </si>
  <si>
    <t>Nimons</t>
  </si>
  <si>
    <t>Stetson</t>
  </si>
  <si>
    <t>Bruce</t>
  </si>
  <si>
    <t xml:space="preserve"> Det Sergeant</t>
  </si>
  <si>
    <t>Shift Dif</t>
  </si>
  <si>
    <t>Sgt Shift Dif</t>
  </si>
  <si>
    <t>Acosta</t>
  </si>
  <si>
    <t>John</t>
  </si>
  <si>
    <t>Brendon</t>
  </si>
  <si>
    <t>Gregory</t>
  </si>
  <si>
    <t>Wojciech</t>
  </si>
  <si>
    <t>Jacquelyn</t>
  </si>
  <si>
    <t>Replacement</t>
  </si>
  <si>
    <t>Holiday</t>
  </si>
  <si>
    <t xml:space="preserve">OIC </t>
  </si>
  <si>
    <t>Overtime</t>
  </si>
  <si>
    <t>PD Total</t>
  </si>
  <si>
    <t>Private Duty</t>
  </si>
  <si>
    <t>MERS Admin</t>
  </si>
  <si>
    <t>Maureen</t>
  </si>
  <si>
    <t>Monthly Health Insurance Cost</t>
  </si>
  <si>
    <t>Collins</t>
  </si>
  <si>
    <t>Kolakowski</t>
  </si>
  <si>
    <t>Robert</t>
  </si>
  <si>
    <t>City Totals</t>
  </si>
  <si>
    <t>City Share Annual Health Insurance Cost</t>
  </si>
  <si>
    <t>EE Share Annual Health Insurance Cost</t>
  </si>
  <si>
    <t>Whitlock</t>
  </si>
  <si>
    <t>Tara</t>
  </si>
  <si>
    <t>Holidays</t>
  </si>
  <si>
    <t>Holidays Value</t>
  </si>
  <si>
    <t>Power</t>
  </si>
  <si>
    <t>A3</t>
  </si>
  <si>
    <t>OT-9a</t>
  </si>
  <si>
    <t>OT-9a-1</t>
  </si>
  <si>
    <t>Clerk 5</t>
  </si>
  <si>
    <t>Mech 5</t>
  </si>
  <si>
    <t>Laborer</t>
  </si>
  <si>
    <t>Lab 5</t>
  </si>
  <si>
    <t>Landfill 5</t>
  </si>
  <si>
    <t>Landfill Operator</t>
  </si>
  <si>
    <t>Driver/Operator</t>
  </si>
  <si>
    <t>Driver 5</t>
  </si>
  <si>
    <t>Scale 5</t>
  </si>
  <si>
    <t>Chief Mechanic</t>
  </si>
  <si>
    <t>CM 5</t>
  </si>
  <si>
    <t>TM 5</t>
  </si>
  <si>
    <t>Tradesmen</t>
  </si>
  <si>
    <t xml:space="preserve">Driver </t>
  </si>
  <si>
    <t>Driver</t>
  </si>
  <si>
    <t>D/O 5</t>
  </si>
  <si>
    <t>Ast. Operator</t>
  </si>
  <si>
    <t>AO 5</t>
  </si>
  <si>
    <t>Operator</t>
  </si>
  <si>
    <t>WO 4</t>
  </si>
  <si>
    <t>O/M 5</t>
  </si>
  <si>
    <t>Lab 3</t>
  </si>
  <si>
    <t>Social Security Cost (6.2%)</t>
  </si>
  <si>
    <t>Medicare Cost (1.45%)</t>
  </si>
  <si>
    <t>Total Employee Cost</t>
  </si>
  <si>
    <t>GRANT COST SHARE</t>
  </si>
  <si>
    <t>MEDICARE</t>
  </si>
  <si>
    <t>A9</t>
  </si>
  <si>
    <t>A10</t>
  </si>
  <si>
    <t>A7</t>
  </si>
  <si>
    <t>OT</t>
  </si>
  <si>
    <t>RETIREE MEDICAL</t>
  </si>
  <si>
    <t>EMPLOYEE MEDICAL</t>
  </si>
  <si>
    <t>1005.41.4135.000000.41000.00001</t>
  </si>
  <si>
    <t>1005.41.4135.000000.41000.00003</t>
  </si>
  <si>
    <t>1005.41.4135.000000.41000.00005</t>
  </si>
  <si>
    <t>1005.41.4135.000000.41000.00007</t>
  </si>
  <si>
    <t>LIENS, INTEREST &amp; WARRANT INCOME</t>
  </si>
  <si>
    <t>1005.41.4135.000000.41000.00010</t>
  </si>
  <si>
    <t>1005.41.4135.000000.41000.00009</t>
  </si>
  <si>
    <t>1005.43.4199.000000.43300.00300</t>
  </si>
  <si>
    <t>1005.48.4201.000000.48400.01100</t>
  </si>
  <si>
    <t>1005.43.4199.000000.43300.00105</t>
  </si>
  <si>
    <t>1005.43.4199.000000.43300.00115</t>
  </si>
  <si>
    <t>1005.43.4199.000000.43300.00200</t>
  </si>
  <si>
    <t>1005.43.4199.000000.43300.00205</t>
  </si>
  <si>
    <t>1005.43.4199.000000.43300.00210</t>
  </si>
  <si>
    <t>1005.43.4199.000000.43600.00000</t>
  </si>
  <si>
    <t>1005.43.4199.000000.43300.00215</t>
  </si>
  <si>
    <t>1005.43.4199.000000.43300.00220</t>
  </si>
  <si>
    <t>1005.43.4199.000000.43300.00225</t>
  </si>
  <si>
    <t>1005.43.4199.000000.43300.00230</t>
  </si>
  <si>
    <t>1005.43.4199.000000.43300.00235</t>
  </si>
  <si>
    <t>1005.42.4151.000000.42201.00500</t>
  </si>
  <si>
    <t>1005.42.4151.000000.42201.00505</t>
  </si>
  <si>
    <t>1005.45.4199.000000.45102.00800</t>
  </si>
  <si>
    <t>1005.45.4199.000000.45102.00805</t>
  </si>
  <si>
    <t>1005.48.4199.000000.48990.01200</t>
  </si>
  <si>
    <t>1005.44.4201.000000.44104.00000</t>
  </si>
  <si>
    <t>1005.42.4151.000000.42130.00090</t>
  </si>
  <si>
    <t>1005.42.4151.000000.42201.00000</t>
  </si>
  <si>
    <t>1005.44.4399.000000.44403.00000</t>
  </si>
  <si>
    <t>1005.42.4151.000000.42201.00510</t>
  </si>
  <si>
    <t>1005.48.4201.000000.48400.01101</t>
  </si>
  <si>
    <t>1005.47.4199.000000.47901.01000</t>
  </si>
  <si>
    <t>1005.45.4135.000000.45501.00000</t>
  </si>
  <si>
    <t>1005.44.4219.000000.44502.00000</t>
  </si>
  <si>
    <t>1005.48.4101.000000.48990.01201</t>
  </si>
  <si>
    <t>1005.44.4147.000000.44102.00000</t>
  </si>
  <si>
    <t>1005.48.4101.000000.48990.01202</t>
  </si>
  <si>
    <t>1005.43.4199.000000.43900.00000</t>
  </si>
  <si>
    <t>1005.48.4399.000000.48990.01203</t>
  </si>
  <si>
    <t>1005.47.4199.000000.47901.01001</t>
  </si>
  <si>
    <t>1005.47.4199.000000.47901.01002</t>
  </si>
  <si>
    <t>1005.47.4199.000000.47901.01003</t>
  </si>
  <si>
    <t>1005.48.4199.000000.48400.01102</t>
  </si>
  <si>
    <t>1005.44.4505.000000.44710.00000</t>
  </si>
  <si>
    <t>1005.44.4503.000000.44709.00700</t>
  </si>
  <si>
    <t>1005.44.4503.000000.44709.00705</t>
  </si>
  <si>
    <t>1005.44.4503.000000.44709.00710</t>
  </si>
  <si>
    <t>1005.44.4109.000000.44709.00715</t>
  </si>
  <si>
    <t>1005.44.4109.000000.44709.00720</t>
  </si>
  <si>
    <t>1005.44.4147.000000.44010.00400</t>
  </si>
  <si>
    <t>1005.44.4201.000000.44201.00600</t>
  </si>
  <si>
    <t>1005.45.4201.000000.45102.00810</t>
  </si>
  <si>
    <t>1005.44.4201.000000.44201.00605</t>
  </si>
  <si>
    <t>1005.48.4201.000000.48990.01207</t>
  </si>
  <si>
    <t>1005.42.4201.000000.42130.00092</t>
  </si>
  <si>
    <t>1005.48.4201.000000.48990.01204</t>
  </si>
  <si>
    <t>1005.48.4899.000000.48990.01205</t>
  </si>
  <si>
    <t>1005.44.4207.000000.44867.00000</t>
  </si>
  <si>
    <t>1005.48.4899.000000.48990.01206</t>
  </si>
  <si>
    <t>1005.49.4101.000000.49010.00000</t>
  </si>
  <si>
    <t>1005.49.4101.000000.49010.00001</t>
  </si>
  <si>
    <t>1005.44.4203.000000.44202.00000</t>
  </si>
  <si>
    <t>1005.48.4899.000000.46101.00905</t>
  </si>
  <si>
    <t>1005.48.4899.000000.46101.00900</t>
  </si>
  <si>
    <t>1005.48.4199.000000.48400.01103</t>
  </si>
  <si>
    <t>1005.44.4199.000000.44010.00410</t>
  </si>
  <si>
    <t>1005.49.4899.000000.49306.00000</t>
  </si>
  <si>
    <t>1005.43.4199.000000.43300.00110</t>
  </si>
  <si>
    <t>1005.48.4101.000000.48990.01208</t>
  </si>
  <si>
    <t>PANDEMIC EXPENSES REVENUE</t>
  </si>
  <si>
    <t>1005.49.4899.000000.49301.00000</t>
  </si>
  <si>
    <t>PROCEEDS FROM BONDS</t>
  </si>
  <si>
    <t>1005.48.4199.000000.48990.01300</t>
  </si>
  <si>
    <t>PROCEEDS FROM MUN PARKING AUTH</t>
  </si>
  <si>
    <t>41 Total</t>
  </si>
  <si>
    <t>Permits and Fees</t>
  </si>
  <si>
    <t>Fees</t>
  </si>
  <si>
    <t>Rental</t>
  </si>
  <si>
    <t>Other</t>
  </si>
  <si>
    <t>Interest and Reimbursement</t>
  </si>
  <si>
    <t>42 Total</t>
  </si>
  <si>
    <t>43 Total</t>
  </si>
  <si>
    <t>44 Total</t>
  </si>
  <si>
    <t>45 Total</t>
  </si>
  <si>
    <t>47 Total</t>
  </si>
  <si>
    <t>48 Total</t>
  </si>
  <si>
    <t>49 Total</t>
  </si>
  <si>
    <t>1005.41.4101.410102.53100.00000</t>
  </si>
  <si>
    <t>1005.41.4101.410104.51900.00000</t>
  </si>
  <si>
    <t>1005.41.4101.410106.59140.00000</t>
  </si>
  <si>
    <t>1005.41.4101.410108.59140.00000</t>
  </si>
  <si>
    <t>1005.41.4101.410106.56900.00000</t>
  </si>
  <si>
    <t>1005.41.4101.410110.57010.00000</t>
  </si>
  <si>
    <t>1005.41.4101.410112.58900.00000</t>
  </si>
  <si>
    <t>1005.41.4109.410901.51610.00000</t>
  </si>
  <si>
    <t>1005.41.4109.410903.51610.00000</t>
  </si>
  <si>
    <t>1005.41.4109.410906.51620.00000</t>
  </si>
  <si>
    <t>1005.41.4109.410908.53010.00000</t>
  </si>
  <si>
    <t>1005.41.4109.410910.51620.00000</t>
  </si>
  <si>
    <t>1005.41.4109.410912.56900.00000</t>
  </si>
  <si>
    <t>1005.41.4109.410914.51900.00000</t>
  </si>
  <si>
    <t>1005.41.4109.410916.58100.00000</t>
  </si>
  <si>
    <t>1005.41.4109.410918.53200.00000</t>
  </si>
  <si>
    <t>1005.41.4109.410920.56900.00000</t>
  </si>
  <si>
    <t>1005.41.4109.410922.58900.00000</t>
  </si>
  <si>
    <t>1005.41.4109.410924.54420.00000</t>
  </si>
  <si>
    <t>1005.41.4109.410926.55800.00000</t>
  </si>
  <si>
    <t>1005.41.4123.412300.51610.00000</t>
  </si>
  <si>
    <t>1005.41.4123.412302.51900.00000</t>
  </si>
  <si>
    <t>1005.41.4123.412304.51630.00000</t>
  </si>
  <si>
    <t>1005.41.4123.412306.53410.00000</t>
  </si>
  <si>
    <t>1005.41.4123.412308.55800.00000</t>
  </si>
  <si>
    <t>1005.41.4123.412310.53410.00000</t>
  </si>
  <si>
    <t>1005.41.4123.412312.53410.00000</t>
  </si>
  <si>
    <t>1005.41.4123.412314.53410.00000</t>
  </si>
  <si>
    <t>1005.41.4123.412316.56430.00000</t>
  </si>
  <si>
    <t>1005.41.4131.413100.51610.00000</t>
  </si>
  <si>
    <t>1005.41.4131.413102.53200.00000</t>
  </si>
  <si>
    <t>1005.41.4131.413104.55800.00000</t>
  </si>
  <si>
    <t>1005.41.4131.413106.53300.00000</t>
  </si>
  <si>
    <t>1005.41.4131.413108.54300.00000</t>
  </si>
  <si>
    <t>1005.41.4131.413110.56010.00000</t>
  </si>
  <si>
    <t>1005.41.4131.413112.55500.00000</t>
  </si>
  <si>
    <t>1005.41.4131.413114.56430.00000</t>
  </si>
  <si>
    <t>1005.41.4135.413502.51610.00000</t>
  </si>
  <si>
    <t>TAX WAGES</t>
  </si>
  <si>
    <t>1005.41.4135.413504.53200.00000</t>
  </si>
  <si>
    <t>1005.41.4135.413506.55800.00000</t>
  </si>
  <si>
    <t>1005.41.4135.413510.56010.00000</t>
  </si>
  <si>
    <t>1005.41.4135.413512.55500.00000</t>
  </si>
  <si>
    <t>1005.41.4135.413514.58100.00000</t>
  </si>
  <si>
    <t>1005.41.4135.413516.59010.00000</t>
  </si>
  <si>
    <t>1005.41.4143.414302.51620.00000</t>
  </si>
  <si>
    <t>1005.41.4143.414304.51900.00000</t>
  </si>
  <si>
    <t>1005.41.4143.414306.53200.00000</t>
  </si>
  <si>
    <t>1005.41.4143.414308.55300.00000</t>
  </si>
  <si>
    <t>1005.41.4143.414310.55300.00000</t>
  </si>
  <si>
    <t>1005.41.4143.414312.54300.00000</t>
  </si>
  <si>
    <t>1005.41.4143.414314.54320.00000</t>
  </si>
  <si>
    <t>1005.41.4143.414316.54320.00000</t>
  </si>
  <si>
    <t>1005.41.4143.414318.57350.00000</t>
  </si>
  <si>
    <t>1005.41.4147.414700.51610.00000</t>
  </si>
  <si>
    <t>TOWN &amp; CITY CLERK WAGES</t>
  </si>
  <si>
    <t>1005.41.4147.414702.53200.00000</t>
  </si>
  <si>
    <t>1005.41.4147.414704.54300.00000</t>
  </si>
  <si>
    <t>1005.41.4147.414706.54300.00000</t>
  </si>
  <si>
    <t>1005.41.4147.414708.59010.00000</t>
  </si>
  <si>
    <t>1005.41.4147.414710.55010.00000</t>
  </si>
  <si>
    <t>1005.41.4147.414712.58100.00000</t>
  </si>
  <si>
    <t>1005.41.4147.414714.58100.00000</t>
  </si>
  <si>
    <t>1005.41.4147.414716.55500.00000</t>
  </si>
  <si>
    <t>1005.41.4147.414718.59010.00000</t>
  </si>
  <si>
    <t>1005.41.4147.414720.55500.00000</t>
  </si>
  <si>
    <t>1005.41.4147.414722.59010.00000</t>
  </si>
  <si>
    <t>1005.41.4147.414724.58100.00000</t>
  </si>
  <si>
    <t>1005.41.4147.414726.56010.00000</t>
  </si>
  <si>
    <t>1005.41.4147.414728.56010.00000</t>
  </si>
  <si>
    <t>1005.41.4147.414730.55500.00000</t>
  </si>
  <si>
    <t>1005.41.4147.414732.55301.00000</t>
  </si>
  <si>
    <t>1005.41.4149.414900.51900.00000</t>
  </si>
  <si>
    <t>1005.41.4149.414902.53200.00000</t>
  </si>
  <si>
    <t>1005.41.4149.414904.53200.00000</t>
  </si>
  <si>
    <t>1005.41.4149.414906.55990.00000</t>
  </si>
  <si>
    <t>1005.41.4149.414908.56010.00000</t>
  </si>
  <si>
    <t>1005.41.4149.414910.58900.00000</t>
  </si>
  <si>
    <t>1005.41.4149.414912.54300.00000</t>
  </si>
  <si>
    <t>1005.41.4149.414914.54400.00000</t>
  </si>
  <si>
    <t>1005.41.4149.414916.56300.00000</t>
  </si>
  <si>
    <t>1005.41.4151.415100.51610.00000</t>
  </si>
  <si>
    <t>1005.41.4151.415102.53200.00000</t>
  </si>
  <si>
    <t>1005.41.4151.415104.53200.00000</t>
  </si>
  <si>
    <t>1005.41.4151.415106.53200.00000</t>
  </si>
  <si>
    <t>1005.41.4151.415108.55800.00000</t>
  </si>
  <si>
    <t>1005.41.4151.415110.53020.00000</t>
  </si>
  <si>
    <t>1005.41.4151.415114.56100.00000</t>
  </si>
  <si>
    <t>1005.41.4151.415116.56500.00000</t>
  </si>
  <si>
    <t>1005.41.4151.415118.58100.00000</t>
  </si>
  <si>
    <t>1005.41.4151.415120.56100.00000</t>
  </si>
  <si>
    <t>1005.41.4151.415122.58100.00000</t>
  </si>
  <si>
    <t>1005.41.4173.417302.51610.00000</t>
  </si>
  <si>
    <t>ECONOMIC DEV WAGES</t>
  </si>
  <si>
    <t>1005.41.4173.417304.53200.00000</t>
  </si>
  <si>
    <t>1005.41.4173.417306.53300.00000</t>
  </si>
  <si>
    <t>1005.41.4173.417308.53500.00000</t>
  </si>
  <si>
    <t>1005.41.4173.417310.55800.00000</t>
  </si>
  <si>
    <t>1005.41.4173.417312.55400.00000</t>
  </si>
  <si>
    <t>1005.41.4173.417314.58100.00000</t>
  </si>
  <si>
    <t>1005.41.4199.419902.51610.00000</t>
  </si>
  <si>
    <t>1005.41.4199.419904.51900.00000</t>
  </si>
  <si>
    <t>1005.41.4199.419906.51900.00000</t>
  </si>
  <si>
    <t>1005.41.4199.419908.51620.00000</t>
  </si>
  <si>
    <t>1005.41.4199.419910.51900.00000</t>
  </si>
  <si>
    <t>1005.41.4199.419912.51900.00000</t>
  </si>
  <si>
    <t>1005.41.4199.419914.51900.00000</t>
  </si>
  <si>
    <t>1005.41.4199.419916.51900.00000</t>
  </si>
  <si>
    <t>1005.41.4199.419918.53010.00000</t>
  </si>
  <si>
    <t>1005.41.4199.419920.52300.00000</t>
  </si>
  <si>
    <t>1005.41.4199.419922.52300.00000</t>
  </si>
  <si>
    <t>1005.41.4199.419924.53020.00000</t>
  </si>
  <si>
    <t>1005.41.4199.419928.58200.00000</t>
  </si>
  <si>
    <t>1005.41.4199.419926.54900.00000</t>
  </si>
  <si>
    <t>1005.41.4199.419930.56220.00000</t>
  </si>
  <si>
    <t>1005.41.4199.419932.54411.00000</t>
  </si>
  <si>
    <t>1005.41.4199.419934.56210.00000</t>
  </si>
  <si>
    <t>1005.41.4199.419936.56240.00000</t>
  </si>
  <si>
    <t>1005.41.4199.419940.58250.00000</t>
  </si>
  <si>
    <t>1005.41.4199.419942.58250.00000</t>
  </si>
  <si>
    <t>1005.41.4199.419944.58250.00000</t>
  </si>
  <si>
    <t>1005.41.4199.419946.58250.00000</t>
  </si>
  <si>
    <t>1005.41.4199.419950.58250.00000</t>
  </si>
  <si>
    <t>1005.41.4199.419954.58250.00000</t>
  </si>
  <si>
    <t>1005.41.4199.419956.58250.00000</t>
  </si>
  <si>
    <t>1005.41.4199.419958.58250.00000</t>
  </si>
  <si>
    <t>1005.41.4199.419962.58900.00000</t>
  </si>
  <si>
    <t>1005.41.4199.419960.58250.00000</t>
  </si>
  <si>
    <t>1005.41.4199.419964.55301.00000</t>
  </si>
  <si>
    <t>1005.41.4199.419966.58900.00000</t>
  </si>
  <si>
    <t>1005.41.4199.419968.56010.00000</t>
  </si>
  <si>
    <t>1005.41.4199.419970.55400.00000</t>
  </si>
  <si>
    <t>1005.41.4199.419972.58900.00000</t>
  </si>
  <si>
    <t>1005.41.4199.419974.58250.00000</t>
  </si>
  <si>
    <t>1005.41.4199.419976.58250.00000</t>
  </si>
  <si>
    <t>1005.41.4199.419978.58250.00000</t>
  </si>
  <si>
    <t>1005.42.4201.420100.51610.00000</t>
  </si>
  <si>
    <t>1005.42.4201.420102.51610.00000</t>
  </si>
  <si>
    <t>1005.42.4201.420104.51610.00000</t>
  </si>
  <si>
    <t>1005.42.4201.420106.51610.00000</t>
  </si>
  <si>
    <t>1005.42.4201.420108.51610.00000</t>
  </si>
  <si>
    <t>1005.42.4201.420110.51630.00000</t>
  </si>
  <si>
    <t>1005.42.4201.420112.51900.00000</t>
  </si>
  <si>
    <t>1005.42.4201.420114.51630.00000</t>
  </si>
  <si>
    <t>1005.42.4201.420118.52300.00000</t>
  </si>
  <si>
    <t>1005.42.4201.420116.52300.00000</t>
  </si>
  <si>
    <t>1005.42.4201.420120.53200.00000</t>
  </si>
  <si>
    <t>1005.42.4201.420122.53200.00000</t>
  </si>
  <si>
    <t>1005.42.4201.420124.52900.00000</t>
  </si>
  <si>
    <t>1005.42.4201.420126.52900.00000</t>
  </si>
  <si>
    <t>1005.42.4201.420128.52900.00000</t>
  </si>
  <si>
    <t>1005.42.4201.420130.52900.00000</t>
  </si>
  <si>
    <t>1005.42.4201.420132.53070.00000</t>
  </si>
  <si>
    <t>1005.42.4201.420134.53400.00000</t>
  </si>
  <si>
    <t>1005.42.4201.420136.54300.00000</t>
  </si>
  <si>
    <t>1005.42.4201.420138.54300.00000</t>
  </si>
  <si>
    <t>1005.42.4201.420140.54300.00000</t>
  </si>
  <si>
    <t>1005.42.4201.420142.54300.00000</t>
  </si>
  <si>
    <t>1005.42.4201.420144.56500.00000</t>
  </si>
  <si>
    <t>1005.42.4201.420146.54300.00000</t>
  </si>
  <si>
    <t>1005.42.4201.420148.54300.00000</t>
  </si>
  <si>
    <t>1005.42.4201.420150.54320.00000</t>
  </si>
  <si>
    <t>1005.42.4201.420152.56100.00000</t>
  </si>
  <si>
    <t>1005.42.4201.420154.56500.00000</t>
  </si>
  <si>
    <t>1005.42.4201.420156.56010.00000</t>
  </si>
  <si>
    <t>1005.42.4201.420160.56100.00000</t>
  </si>
  <si>
    <t>1005.42.4201.420262.56100.00000</t>
  </si>
  <si>
    <t>1005.42.4201.420264.53200.00000</t>
  </si>
  <si>
    <t>1005.42.4201.420266.56100.00000</t>
  </si>
  <si>
    <t>1005.42.4201.420268.56010.00000</t>
  </si>
  <si>
    <t>1005.42.4201.420270.56100.00000</t>
  </si>
  <si>
    <t>1005.42.4201.420272.56100.00000</t>
  </si>
  <si>
    <t>1005.42.4201.420274.58100.00000</t>
  </si>
  <si>
    <t>1005.42.4201.420276.58100.00000</t>
  </si>
  <si>
    <t>1005.42.4201.420278.56100.00000</t>
  </si>
  <si>
    <t>1005.42.4201.420280.56100.00000</t>
  </si>
  <si>
    <t>1005.42.4203.420300.51900.00000</t>
  </si>
  <si>
    <t>1005.42.4203.420302.51900.00000</t>
  </si>
  <si>
    <t>1005.42.4203.420304.53200.00000</t>
  </si>
  <si>
    <t>1005.42.4203.420306.53200.00000</t>
  </si>
  <si>
    <t>1005.42.4203.420308.56100.00000</t>
  </si>
  <si>
    <t>1005.42.4203.420310.55800.00000</t>
  </si>
  <si>
    <t>1005.42.4203.420312.58100.00000</t>
  </si>
  <si>
    <t>1005.42.4203.420314.53400.00000</t>
  </si>
  <si>
    <t>1005.42.4203.420316.53010.00000</t>
  </si>
  <si>
    <t>1005.42.4203.420318.53010.00000</t>
  </si>
  <si>
    <t>1005.42.4203.420320.53070.00000</t>
  </si>
  <si>
    <t>1005.42.4203.420322.53070.00000</t>
  </si>
  <si>
    <t>1005.42.4203.420324.54302.00000</t>
  </si>
  <si>
    <t>1005.42.4203.420326.53070.00000</t>
  </si>
  <si>
    <t>1005.42.4203.420328.53070.00000</t>
  </si>
  <si>
    <t>1005.42.4203.420330.54302.00000</t>
  </si>
  <si>
    <t>1005.42.4203.420332.54302.00000</t>
  </si>
  <si>
    <t>1005.42.4203.420334.54301.00000</t>
  </si>
  <si>
    <t>1005.42.4203.420336.54302.00000</t>
  </si>
  <si>
    <t>1005.42.4203.420338.54302.00000</t>
  </si>
  <si>
    <t>1005.42.4203.420340.54302.00000</t>
  </si>
  <si>
    <t>1005.42.4203.420342.54302.00000</t>
  </si>
  <si>
    <t>1005.42.4203.420344.56100.00000</t>
  </si>
  <si>
    <t>1005.42.4203.420346.56100.00000</t>
  </si>
  <si>
    <t>1005.42.4203.420348.56100.00000</t>
  </si>
  <si>
    <t>1005.42.4203.420350.56500.00000</t>
  </si>
  <si>
    <t>1005.42.4203.420352.56010.00000</t>
  </si>
  <si>
    <t>1005.42.4203.420354.56100.00000</t>
  </si>
  <si>
    <t>1005.42.4203.420356.56100.00000</t>
  </si>
  <si>
    <t>1005.42.4203.420358.54320.00000</t>
  </si>
  <si>
    <t>1005.42.4203.420360.56100.00000</t>
  </si>
  <si>
    <t>1005.42.4203.420362.53010.00000</t>
  </si>
  <si>
    <t>1005.42.4203.420364.56100.00000</t>
  </si>
  <si>
    <t>1005.42.4207.420703.51610.00000</t>
  </si>
  <si>
    <t>1005.42.4207.420705.52900.00000</t>
  </si>
  <si>
    <t>1005.42.4207.420707.56100.00000</t>
  </si>
  <si>
    <t>1005.42.4207.420709.53200.00000</t>
  </si>
  <si>
    <t>1005.42.4207.420711.56100.00000</t>
  </si>
  <si>
    <t>1005.42.4207.420713.54300.00000</t>
  </si>
  <si>
    <t>1005.42.4207.420715.54300.00000</t>
  </si>
  <si>
    <t>1005.42.4207.420717.56100.00000</t>
  </si>
  <si>
    <t>1005.42.4207.420719.56010.00000</t>
  </si>
  <si>
    <t>1005.42.4207.420721.56100.00000</t>
  </si>
  <si>
    <t>1005.42.4207.420723.56100.00000</t>
  </si>
  <si>
    <t>1005.42.4207.420725.56100.00000</t>
  </si>
  <si>
    <t>1005.42.4207.420727.56500.00000</t>
  </si>
  <si>
    <t>1005.42.4207.420729.53510.00000</t>
  </si>
  <si>
    <t>1005.42.4219.421900.51610.00000</t>
  </si>
  <si>
    <t>1005.42.4219.421902.53200.00000</t>
  </si>
  <si>
    <t>1005.42.4219.421904.56100.00000</t>
  </si>
  <si>
    <t>1005.42.4219.421906.52900.00000</t>
  </si>
  <si>
    <t>1005.42.4219.421908.54300.00000</t>
  </si>
  <si>
    <t>1005.42.4219.421910.56010.00000</t>
  </si>
  <si>
    <t>1005.42.4219.421912.56100.00000</t>
  </si>
  <si>
    <t>1005.42.4219.421914.54320.00000</t>
  </si>
  <si>
    <t>1005.42.4219.421916.58100.00000</t>
  </si>
  <si>
    <t>1005.42.4299.429902.53200.00000</t>
  </si>
  <si>
    <t>1005.42.4299.429904.53300.00000</t>
  </si>
  <si>
    <t>1005.42.4299.429906.53300.00000</t>
  </si>
  <si>
    <t>1005.42.4299.429908.56100.00000</t>
  </si>
  <si>
    <t>1005.42.4299.429910.56100.00000</t>
  </si>
  <si>
    <t>1005.43.4305.430500.51900.00000</t>
  </si>
  <si>
    <t>1005.43.4305.430502.55010.00000</t>
  </si>
  <si>
    <t>1005.43.4305.430504.55010.00000</t>
  </si>
  <si>
    <t>1005.43.4305.430506.55010.00000</t>
  </si>
  <si>
    <t>1005.43.4305.430508.55010.00000</t>
  </si>
  <si>
    <t>1005.43.4305.430510.56100.00000</t>
  </si>
  <si>
    <t>1005.43.4399.439901.51610.00000</t>
  </si>
  <si>
    <t>1005.43.4399.439903.51620.00000</t>
  </si>
  <si>
    <t>1005.43.4399.439905.51630.00000</t>
  </si>
  <si>
    <t>1005.43.4399.439906.51630.00000</t>
  </si>
  <si>
    <t>OVERTME SNOW REMOVAL</t>
  </si>
  <si>
    <t>1005.43.4399.439908.52300.00000</t>
  </si>
  <si>
    <t>1005.43.4399.439909.52900.00000</t>
  </si>
  <si>
    <t>1005.43.4399.439911.53400.00000</t>
  </si>
  <si>
    <t>1005.43.4399.439913.54101.00000</t>
  </si>
  <si>
    <t>1005.43.4399.439915.54101.00000</t>
  </si>
  <si>
    <t>1005.43.4399.439917.54101.00000</t>
  </si>
  <si>
    <t>1005.43.4399.439919.54300.00000</t>
  </si>
  <si>
    <t>1005.43.4399.439921.54300.00000</t>
  </si>
  <si>
    <t>1005.43.4399.439923.54300.00000</t>
  </si>
  <si>
    <t>1005.43.4399.439925.54300.00000</t>
  </si>
  <si>
    <t>1005.43.4399.439927.54301.00000</t>
  </si>
  <si>
    <t>1005.43.4399.439929.54300.00000</t>
  </si>
  <si>
    <t>1005.43.4399.439931.54300.00000</t>
  </si>
  <si>
    <t>1005.43.4399.439933.56260.00000</t>
  </si>
  <si>
    <t>1005.43.4399.439935.54103.00000</t>
  </si>
  <si>
    <t>1005.43.4399.439937.56290.00000</t>
  </si>
  <si>
    <t>1005.43.4399.439939.56290.00000</t>
  </si>
  <si>
    <t>1005.43.4399.439941.56100.00000</t>
  </si>
  <si>
    <t>1005.43.4399.439943.54900.00000</t>
  </si>
  <si>
    <t>1005.43.4399.439945.54300.00000</t>
  </si>
  <si>
    <t>1005.43.4399.439947.56300.00000</t>
  </si>
  <si>
    <t>1005.45.4501.450100.51610.00000</t>
  </si>
  <si>
    <t>1005.45.4501.450102.51630.00000</t>
  </si>
  <si>
    <t>1005.45.4501.450104.54300.00000</t>
  </si>
  <si>
    <t>1005.45.4501.450106.54301.00000</t>
  </si>
  <si>
    <t>1005.45.4501.450108.54300.00000</t>
  </si>
  <si>
    <t>1005.45.4501.450110.54320.00000</t>
  </si>
  <si>
    <t>1005.45.4501.450112.54320.00000</t>
  </si>
  <si>
    <t>1005.45.4501.450114.56100.00000</t>
  </si>
  <si>
    <t>1005.45.4501.450116.56010.00000</t>
  </si>
  <si>
    <t>1005.45.4501.450118.58100.00000</t>
  </si>
  <si>
    <t>1005.45.4501.450120.56420.00000</t>
  </si>
  <si>
    <t>1005.45.4501.450122.56430.00000</t>
  </si>
  <si>
    <t>1005.45.4501.450124.56500.00000</t>
  </si>
  <si>
    <t>1005.45.4501.450126.55010.00000</t>
  </si>
  <si>
    <t>1005.45.4503.450301.51610.00000</t>
  </si>
  <si>
    <t>1005.45.4503.450303.55800.00000</t>
  </si>
  <si>
    <t>1005.45.4503.450305.56900.00000</t>
  </si>
  <si>
    <t>1005.45.4503.450307.56900.00000</t>
  </si>
  <si>
    <t>1005.45.4503.450309.56900.00000</t>
  </si>
  <si>
    <t>1005.45.4503.450311.56900.00000</t>
  </si>
  <si>
    <t>1005.45.4503.450313.56900.00000</t>
  </si>
  <si>
    <t>1005.45.4503.450315.56900.00000</t>
  </si>
  <si>
    <t>1005.45.4503.450317.56900.00000</t>
  </si>
  <si>
    <t>1005.45.4505.450500.51610.00000</t>
  </si>
  <si>
    <t>1005.45.4505.450502.55800.00000</t>
  </si>
  <si>
    <t>1005.45.4505.450504.56100.00000</t>
  </si>
  <si>
    <t>1005.45.4505.450506.55301.00000</t>
  </si>
  <si>
    <t>1005.45.4505.450508.56010.00000</t>
  </si>
  <si>
    <t>1005.45.4505.450510.55500.00000</t>
  </si>
  <si>
    <t>1005.45.4505.450512.54300.00000</t>
  </si>
  <si>
    <t>1005.45.4505.450514.56900.00000</t>
  </si>
  <si>
    <t>1005.45.4599.449908.55010.00000</t>
  </si>
  <si>
    <t>1005.45.4599.449910.56300.00000</t>
  </si>
  <si>
    <t>1005.45.4599.459900.51610.00000</t>
  </si>
  <si>
    <t>1005.45.4599.459902.54300.00000</t>
  </si>
  <si>
    <t>1005.45.4599.459904.56010.00000</t>
  </si>
  <si>
    <t>1005.45.4599.459906.55010.00000</t>
  </si>
  <si>
    <t>1005.47.4700.470000.59140.00000</t>
  </si>
  <si>
    <t>1005.48.4899.489901.52800.00000</t>
  </si>
  <si>
    <t>1005.48.4899.489903.52900.00000</t>
  </si>
  <si>
    <t>1005.48.4899.489905.52900.00000</t>
  </si>
  <si>
    <t>1005.48.4899.489907.52800.00000</t>
  </si>
  <si>
    <t>1005.48.4899.489909.52900.00000</t>
  </si>
  <si>
    <t>1005.48.4899.489911.52850.00000</t>
  </si>
  <si>
    <t>1005.48.4899.489913.52100.00000</t>
  </si>
  <si>
    <t>1005.48.4899.489915.52700.00000</t>
  </si>
  <si>
    <t>1005.48.4899.489917.52200.00000</t>
  </si>
  <si>
    <t>1005.48.4899.489919.52600.00000</t>
  </si>
  <si>
    <t>1005.48.4899.489921.55200.00000</t>
  </si>
  <si>
    <t>1005.48.4899.489925.57300.00000</t>
  </si>
  <si>
    <t>1005.48.4899.489935.58330.00000</t>
  </si>
  <si>
    <t>2016 BOND ISSUE-PRINCIPAL(13-14REF)</t>
  </si>
  <si>
    <t>1005.48.4899.489937.58330.00000</t>
  </si>
  <si>
    <t>1005.48.4899.489939.58330.00000</t>
  </si>
  <si>
    <t>1005.48.4899.489941.58330.00000</t>
  </si>
  <si>
    <t>1005.48.4899.489961.58320.00000</t>
  </si>
  <si>
    <t>1005.48.4899.489962.58320.00000</t>
  </si>
  <si>
    <t>2018 BOND ISSUE-INTEREST(RDEMO)</t>
  </si>
  <si>
    <t>1005.48.4899.489963.58320.00000</t>
  </si>
  <si>
    <t>1005.48.4899.489965.58320.00000</t>
  </si>
  <si>
    <t>1005.48.4899.489960.58320.00000</t>
  </si>
  <si>
    <t>2016 BOND ISSUE-INTEREST(13-14 REF)</t>
  </si>
  <si>
    <t>1005.49.4900.490082.57320.03016</t>
  </si>
  <si>
    <t>1005.49.4900.490083.57320.03016</t>
  </si>
  <si>
    <t>POLICE VEHICLES</t>
  </si>
  <si>
    <t>1005.50.5000.500001.53010.00000</t>
  </si>
  <si>
    <t>1005.50.5000.500003.54301.00000</t>
  </si>
  <si>
    <t>1005.50.5000.500005.57500.00000</t>
  </si>
  <si>
    <t>1005.50.5000.500007.57500.00000</t>
  </si>
  <si>
    <t>MUNICIPAL GRANTS IN AID</t>
  </si>
  <si>
    <t>1005.50.5000.500009.57500.00000</t>
  </si>
  <si>
    <t>LOCIP</t>
  </si>
  <si>
    <t>1005.41.4153.415301.53010.00000</t>
  </si>
  <si>
    <t>1005.41.4153.415303.59010.00000</t>
  </si>
  <si>
    <t>1005.41.4199.419948.58250.00000</t>
  </si>
  <si>
    <t>1005.41.4199.419952.58250.00000</t>
  </si>
  <si>
    <t>1005.41.4199.419967.58900.00000</t>
  </si>
  <si>
    <t>1005.41.9900.990001.59010.00000</t>
  </si>
  <si>
    <t>EXPENDITURE ACCT FOR BUDGET</t>
  </si>
  <si>
    <t>ARMS Regionalization</t>
  </si>
  <si>
    <t>Property Tax Calculation</t>
  </si>
  <si>
    <t>Gross Grand List</t>
  </si>
  <si>
    <t xml:space="preserve">   Motor Vehicles</t>
  </si>
  <si>
    <t xml:space="preserve">   Personal Property</t>
  </si>
  <si>
    <t xml:space="preserve">   Real Estate</t>
  </si>
  <si>
    <t xml:space="preserve"> Total</t>
  </si>
  <si>
    <t>Less : Exemptions</t>
  </si>
  <si>
    <t>Net Grand List (Taxable Basis)</t>
  </si>
  <si>
    <t>Total Net Grand List</t>
  </si>
  <si>
    <t>Revenue Deductions</t>
  </si>
  <si>
    <t>Collection Rate</t>
  </si>
  <si>
    <t>Less : Circuit Breaker</t>
  </si>
  <si>
    <t>Total Revenue Deductions</t>
  </si>
  <si>
    <t>Net Tax Revenue</t>
  </si>
  <si>
    <t>Mill Rate</t>
  </si>
  <si>
    <t>Budget Summary</t>
  </si>
  <si>
    <t>Debt Service Costs</t>
  </si>
  <si>
    <t>Capital Fund</t>
  </si>
  <si>
    <t>Budget  FY 2020 - 2021</t>
  </si>
  <si>
    <t xml:space="preserve">Property Taxes- at 37.80 Mills on Net Grand </t>
  </si>
  <si>
    <t>Property Tax</t>
  </si>
  <si>
    <t>ECS</t>
  </si>
  <si>
    <t>Educaitonal Cost Share</t>
  </si>
  <si>
    <t>Interest and Reimbursements</t>
  </si>
  <si>
    <t xml:space="preserve">  </t>
  </si>
  <si>
    <t>CITY REVENUES</t>
  </si>
  <si>
    <t>TOTAL CITY REVENUES</t>
  </si>
  <si>
    <t>CITY EXPENDITURES</t>
  </si>
  <si>
    <t>City Government Expenses</t>
  </si>
  <si>
    <t xml:space="preserve">B.O.A.T and Contingency Fund </t>
  </si>
  <si>
    <t>City Insurances</t>
  </si>
  <si>
    <t>Net Collectible After Bad Debt Allowance</t>
  </si>
  <si>
    <t>Total City Government</t>
  </si>
  <si>
    <t>City Employee Benefits</t>
  </si>
  <si>
    <t>City Employee Benfits</t>
  </si>
  <si>
    <t>Total Capital and Grants</t>
  </si>
  <si>
    <t>Total Contingency</t>
  </si>
  <si>
    <t>Total Debt Service</t>
  </si>
  <si>
    <t>Total Boad of Education</t>
  </si>
  <si>
    <t>Total Bond Principal</t>
  </si>
  <si>
    <t>Total Bond Interest</t>
  </si>
  <si>
    <t>Department Request Budget FY 2021-2022</t>
  </si>
  <si>
    <t>% Change of Budget Department</t>
  </si>
  <si>
    <t>% Change of Budget Mayor</t>
  </si>
  <si>
    <t>% Change of Budget BOAT</t>
  </si>
  <si>
    <t>% Change of Budget BoA</t>
  </si>
  <si>
    <t xml:space="preserve">               </t>
  </si>
  <si>
    <t>Fund Balance Forecast</t>
  </si>
  <si>
    <t>Total Forecasted Operating Surplus (Deficit)</t>
  </si>
  <si>
    <t xml:space="preserve">Plus : Forecasted Operating Surplus (Deficit) </t>
  </si>
  <si>
    <t xml:space="preserve"> Current Charges</t>
  </si>
  <si>
    <t xml:space="preserve"> Fees</t>
  </si>
  <si>
    <t xml:space="preserve"> Rental</t>
  </si>
  <si>
    <t xml:space="preserve"> Other</t>
  </si>
  <si>
    <t xml:space="preserve"> Interest and Reimbursements</t>
  </si>
  <si>
    <t>ANNUAL DPW SMALL TRUCK REPLACEMENT</t>
  </si>
  <si>
    <t>DPW PENSION</t>
  </si>
  <si>
    <t>Fiscal Year</t>
  </si>
  <si>
    <t>Principal</t>
  </si>
  <si>
    <t>Interest</t>
  </si>
  <si>
    <t>Debt Service</t>
  </si>
  <si>
    <t>Annual Change</t>
  </si>
  <si>
    <t xml:space="preserve">         2018 Series A Bonds</t>
  </si>
  <si>
    <t xml:space="preserve">                   2021 Bonds</t>
  </si>
  <si>
    <t>Debt Ratio</t>
  </si>
  <si>
    <t>TOTAL CITY EXPENDITURES</t>
  </si>
  <si>
    <t>Total City Expenditures</t>
  </si>
  <si>
    <t xml:space="preserve">                 2016 Bonds</t>
  </si>
  <si>
    <t xml:space="preserve">      2018 Series B Bonds</t>
  </si>
  <si>
    <t xml:space="preserve">                2019 Bonds</t>
  </si>
  <si>
    <t>FUND BALANCE AS INCOME BOND PREM 11.1</t>
  </si>
  <si>
    <t>FUND BALANCE AS INCOME BOND PREM 5.0</t>
  </si>
  <si>
    <t>Country Disposal</t>
  </si>
  <si>
    <t>Company</t>
  </si>
  <si>
    <t>Amount</t>
  </si>
  <si>
    <t>Period</t>
  </si>
  <si>
    <t>6/16/20-6/30/20</t>
  </si>
  <si>
    <t>07/01/20-07/15/20</t>
  </si>
  <si>
    <t>07/16/20-07/29/20</t>
  </si>
  <si>
    <t>08/03/20-08/14/20</t>
  </si>
  <si>
    <t>08/17/20-08/31/20</t>
  </si>
  <si>
    <t>09/01/20-09/14/20</t>
  </si>
  <si>
    <t>10/01/20-10/14/20</t>
  </si>
  <si>
    <t>10/16/20-10/29/20</t>
  </si>
  <si>
    <t>r</t>
  </si>
  <si>
    <t>East River</t>
  </si>
  <si>
    <t>Eversource</t>
  </si>
  <si>
    <t>Oak Ridge</t>
  </si>
  <si>
    <t>Regional Water</t>
  </si>
  <si>
    <t>UI</t>
  </si>
  <si>
    <t>FD STORM STANDBY COVERAGE</t>
  </si>
  <si>
    <t>MERF City Cost (16.75%/23.44%)</t>
  </si>
  <si>
    <t>Brokerage Fees</t>
  </si>
  <si>
    <t>CITY SICK TIME BUY BACK</t>
  </si>
  <si>
    <t>List of $996,564,980 at 97.5% Collection Rate</t>
  </si>
  <si>
    <t>MERF City Cost (16.75%)</t>
  </si>
  <si>
    <t>Opt Out</t>
  </si>
  <si>
    <t>DOB</t>
  </si>
  <si>
    <t>Class</t>
  </si>
  <si>
    <t>DOH</t>
  </si>
  <si>
    <t>07/21/0989</t>
  </si>
  <si>
    <t xml:space="preserve">MERF City Cost </t>
  </si>
  <si>
    <t>City Wide</t>
  </si>
  <si>
    <t>Unit Totals</t>
  </si>
  <si>
    <t>ELECTION WORKERS</t>
  </si>
  <si>
    <t>REGISTRAR WAGES</t>
  </si>
  <si>
    <t>JCI PROJECT</t>
  </si>
  <si>
    <t>FUND BALANCE - BOE REFUND</t>
  </si>
  <si>
    <t>(Less)Plus :Rounding Adjustment - Abatement</t>
  </si>
  <si>
    <t>DPW SICK TIME BUY BACK</t>
  </si>
  <si>
    <t>RETURN OF SUPLUS - CAPITAL EXPENSES</t>
  </si>
  <si>
    <t>POLICE BUY BACK-SICK PAY/LONGEVITY</t>
  </si>
  <si>
    <t>Revenue</t>
  </si>
  <si>
    <t>Expenses</t>
  </si>
  <si>
    <t xml:space="preserve">   Debt Service  </t>
  </si>
  <si>
    <t>TAX ABATEMENTS</t>
  </si>
  <si>
    <t>List of $1,006,934,975 at 98% Collection Rate</t>
  </si>
  <si>
    <t>GF Budget Line</t>
  </si>
  <si>
    <t>Building Repairs</t>
  </si>
  <si>
    <t>Town Road Aide/LOCiP</t>
  </si>
  <si>
    <t xml:space="preserve">  FIRE MARSHALL VEHICLE</t>
  </si>
  <si>
    <t xml:space="preserve">  REVALUATION FUND</t>
  </si>
  <si>
    <t>Capital Expense</t>
  </si>
  <si>
    <t>FY Capital Plan</t>
  </si>
  <si>
    <t>Department - CITY  (Reoccuring)</t>
  </si>
  <si>
    <t xml:space="preserve">  DPW SMALL TRUCK REPLACEMENT</t>
  </si>
  <si>
    <t xml:space="preserve">  CITY FLEET REPLACEMENT</t>
  </si>
  <si>
    <t>Column1</t>
  </si>
  <si>
    <t xml:space="preserve">Property Taxes </t>
  </si>
  <si>
    <t>CITY OF ANSONIA</t>
  </si>
  <si>
    <t xml:space="preserve"> BUDGET FY 2021-2022</t>
  </si>
  <si>
    <t>MAYOR'S BUDGET</t>
  </si>
  <si>
    <t>Budget Year    2020 - 2021</t>
  </si>
  <si>
    <t>Forecast Year  2020 - 2021</t>
  </si>
  <si>
    <t xml:space="preserve">Variance (Unf)/Fav </t>
  </si>
  <si>
    <t>Percentage Increase</t>
  </si>
  <si>
    <t>Budget Fiscal Year 2020-2021</t>
  </si>
  <si>
    <t xml:space="preserve"> Budget Fiscal Year 2021-2022</t>
  </si>
  <si>
    <t xml:space="preserve">                 Total Bonded Debt Service</t>
  </si>
  <si>
    <t>AUTO EXPENSE/Travel</t>
  </si>
  <si>
    <t>Total Fund Balance : 6/30/20 Audit</t>
  </si>
  <si>
    <t xml:space="preserve">     Total Desiginated  </t>
  </si>
  <si>
    <t xml:space="preserve">      Reserves</t>
  </si>
  <si>
    <t>Forecasted Undesignated Fund Balance on 6/30/21</t>
  </si>
  <si>
    <t>Total Fund Balance</t>
  </si>
  <si>
    <t>Forecasted Total Fund Balance on 6/30/21</t>
  </si>
  <si>
    <t>Target Fund Balance Goal 9% of Operating Budget</t>
  </si>
  <si>
    <t xml:space="preserve">   Amount above target</t>
  </si>
  <si>
    <t>YOUTH SPORTS PROGRAMS</t>
  </si>
  <si>
    <t>CITY HALL UPGRADES</t>
  </si>
  <si>
    <t xml:space="preserve"> POLICE BODY AND DASH CAMS</t>
  </si>
  <si>
    <t xml:space="preserve">DPW / PARKS EQUIPMENT </t>
  </si>
  <si>
    <t xml:space="preserve"> AMBULANCE REFERB</t>
  </si>
  <si>
    <t xml:space="preserve"> TECHNOLOGY UPGRADES </t>
  </si>
  <si>
    <t xml:space="preserve"> INITIAL ROAD AUDIT PROGRAM</t>
  </si>
  <si>
    <t xml:space="preserve">  POLICE FLEET REPLACEMENT</t>
  </si>
  <si>
    <t>FD Radio Upgrade</t>
  </si>
  <si>
    <t>FD Dual Band Radio</t>
  </si>
  <si>
    <t>GENERATOR</t>
  </si>
  <si>
    <t>FD AIR TRAILER</t>
  </si>
  <si>
    <t>FIREHOUSE EXHAUST SYSTEM</t>
  </si>
  <si>
    <t>KEY FOB SYSTEM</t>
  </si>
  <si>
    <t>FY 22</t>
  </si>
  <si>
    <t>FY 21</t>
  </si>
  <si>
    <t>FY 23</t>
  </si>
  <si>
    <t>FY 24</t>
  </si>
  <si>
    <t>FY 25</t>
  </si>
  <si>
    <t>FY 26</t>
  </si>
  <si>
    <t>Per/40 Hours</t>
  </si>
  <si>
    <t>21 EE</t>
  </si>
  <si>
    <t>City Revenues</t>
  </si>
  <si>
    <t>City Expenditures</t>
  </si>
  <si>
    <t xml:space="preserve">  FY Capital Fund Year Requests</t>
  </si>
  <si>
    <t>NON BONDED CAPITAL Budget to Spend</t>
  </si>
  <si>
    <t>Total City Revenues</t>
  </si>
  <si>
    <t>TOWN &amp; CITY CLERK REVENUE</t>
  </si>
  <si>
    <t xml:space="preserve">VITAL STATISTICS OTHER </t>
  </si>
  <si>
    <t>CLERK EXPENSES</t>
  </si>
  <si>
    <t>Educational Cost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</si>
</sst>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dd/yyyy"/>
    <numFmt numFmtId="166" formatCode="_(&quot;$&quot;* #,##0_);_(&quot;$&quot;* \(#,##0\);_(&quot;$&quot;* &quot;-&quot;??_);_(@_)"/>
    <numFmt numFmtId="167" formatCode="_(* #,##0.00_);_(* \(#,##0.00\);_(* &quot;-&quot;_);_(@_)"/>
    <numFmt numFmtId="168" formatCode="_(* #,##0.000_);_(* \(#,##0.000\);_(* &quot;-&quot;_);_(@_)"/>
    <numFmt numFmtId="169" formatCode="0.000%"/>
    <numFmt numFmtId="170" formatCode="[$-F800]dddd\,\ mmmm\ dd\,\ yyyy"/>
    <numFmt numFmtId="171" formatCode="0.0000%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"/>
      <name val="Arial Narrow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9"/>
      <name val="Arial Narrow"/>
      <family val="2"/>
    </font>
    <font>
      <b/>
      <u/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b/>
      <u val="singleAccounting"/>
      <sz val="14"/>
      <name val="Arial"/>
      <family val="2"/>
    </font>
    <font>
      <b/>
      <u val="singleAccounting"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 val="singleAccounting"/>
      <sz val="9"/>
      <name val="Arial"/>
      <family val="2"/>
    </font>
    <font>
      <u val="doubleAccounting"/>
      <sz val="9"/>
      <name val="Arial"/>
      <family val="2"/>
    </font>
    <font>
      <sz val="9"/>
      <color rgb="FFFF0000"/>
      <name val="Calibri"/>
      <family val="2"/>
      <scheme val="minor"/>
    </font>
    <font>
      <sz val="8"/>
      <color rgb="FFFF0000"/>
      <name val="Arial Narrow"/>
      <family val="2"/>
    </font>
    <font>
      <u/>
      <sz val="9"/>
      <name val="Arial"/>
      <family val="2"/>
    </font>
    <font>
      <b/>
      <u/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 val="double"/>
      <sz val="9"/>
      <name val="Arial"/>
      <family val="2"/>
    </font>
    <font>
      <sz val="14"/>
      <name val="Arial"/>
      <family val="2"/>
    </font>
    <font>
      <b/>
      <u val="doubleAccounting"/>
      <sz val="9"/>
      <name val="Arial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sz val="8"/>
      <name val="Arial Narrow"/>
      <family val="2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20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24"/>
      <name val="Verdana"/>
      <family val="2"/>
    </font>
    <font>
      <b/>
      <sz val="12"/>
      <name val="Verdana"/>
      <family val="2"/>
    </font>
    <font>
      <b/>
      <sz val="26"/>
      <name val="Verdana"/>
      <family val="2"/>
    </font>
    <font>
      <b/>
      <sz val="26"/>
      <color rgb="FFFF0000"/>
      <name val="Verdana"/>
      <family val="2"/>
    </font>
    <font>
      <sz val="1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2" fillId="0" borderId="0"/>
    <xf numFmtId="0" fontId="32" fillId="0" borderId="0"/>
    <xf numFmtId="0" fontId="51" fillId="17" borderId="17" applyNumberFormat="0" applyAlignment="0" applyProtection="0"/>
  </cellStyleXfs>
  <cellXfs count="42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4" fontId="0" fillId="0" borderId="0" xfId="2" applyFont="1" applyAlignment="1">
      <alignment horizontal="center" wrapText="1"/>
    </xf>
    <xf numFmtId="0" fontId="0" fillId="0" borderId="0" xfId="0" applyAlignment="1"/>
    <xf numFmtId="0" fontId="4" fillId="0" borderId="0" xfId="0" applyFont="1" applyAlignment="1">
      <alignment horizontal="left"/>
    </xf>
    <xf numFmtId="0" fontId="4" fillId="0" borderId="0" xfId="0" applyNumberFormat="1" applyFont="1" applyAlignment="1">
      <alignment horizontal="center"/>
    </xf>
    <xf numFmtId="44" fontId="4" fillId="0" borderId="0" xfId="2" applyFont="1" applyFill="1" applyAlignment="1">
      <alignment horizontal="left"/>
    </xf>
    <xf numFmtId="0" fontId="0" fillId="0" borderId="0" xfId="0" applyFill="1"/>
    <xf numFmtId="49" fontId="4" fillId="0" borderId="0" xfId="0" applyNumberFormat="1" applyFont="1" applyAlignment="1">
      <alignment horizontal="left"/>
    </xf>
    <xf numFmtId="0" fontId="0" fillId="3" borderId="0" xfId="0" applyFill="1"/>
    <xf numFmtId="0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2" fontId="4" fillId="3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0" fontId="6" fillId="0" borderId="0" xfId="0" applyFont="1" applyAlignment="1">
      <alignment horizontal="center" wrapText="1"/>
    </xf>
    <xf numFmtId="0" fontId="7" fillId="0" borderId="0" xfId="5" applyFont="1" applyAlignment="1">
      <alignment horizontal="left"/>
    </xf>
    <xf numFmtId="0" fontId="7" fillId="0" borderId="0" xfId="5" applyFont="1" applyAlignment="1">
      <alignment horizontal="center"/>
    </xf>
    <xf numFmtId="0" fontId="6" fillId="0" borderId="0" xfId="0" applyFont="1" applyAlignment="1">
      <alignment horizontal="center"/>
    </xf>
    <xf numFmtId="44" fontId="0" fillId="0" borderId="0" xfId="2" applyFont="1"/>
    <xf numFmtId="44" fontId="0" fillId="0" borderId="1" xfId="2" applyFont="1" applyBorder="1"/>
    <xf numFmtId="44" fontId="0" fillId="5" borderId="1" xfId="2" applyFont="1" applyFill="1" applyBorder="1"/>
    <xf numFmtId="41" fontId="12" fillId="0" borderId="0" xfId="0" applyNumberFormat="1" applyFont="1" applyAlignment="1">
      <alignment horizontal="center"/>
    </xf>
    <xf numFmtId="41" fontId="13" fillId="0" borderId="0" xfId="0" applyNumberFormat="1" applyFont="1"/>
    <xf numFmtId="44" fontId="14" fillId="0" borderId="0" xfId="2" applyFont="1" applyBorder="1"/>
    <xf numFmtId="41" fontId="14" fillId="0" borderId="0" xfId="0" applyNumberFormat="1" applyFont="1"/>
    <xf numFmtId="41" fontId="14" fillId="0" borderId="0" xfId="0" applyNumberFormat="1" applyFont="1" applyAlignment="1">
      <alignment horizontal="left" indent="1"/>
    </xf>
    <xf numFmtId="44" fontId="14" fillId="0" borderId="0" xfId="2" applyFont="1" applyFill="1" applyBorder="1"/>
    <xf numFmtId="41" fontId="14" fillId="0" borderId="0" xfId="0" applyNumberFormat="1" applyFont="1" applyAlignment="1">
      <alignment horizontal="right"/>
    </xf>
    <xf numFmtId="44" fontId="16" fillId="0" borderId="0" xfId="2" applyFont="1" applyBorder="1"/>
    <xf numFmtId="44" fontId="14" fillId="0" borderId="0" xfId="2" applyFont="1" applyFill="1" applyBorder="1" applyAlignment="1"/>
    <xf numFmtId="44" fontId="14" fillId="0" borderId="0" xfId="2" applyFont="1" applyFill="1" applyBorder="1" applyAlignment="1">
      <alignment horizontal="left" indent="1"/>
    </xf>
    <xf numFmtId="44" fontId="14" fillId="0" borderId="0" xfId="2" applyFont="1"/>
    <xf numFmtId="44" fontId="15" fillId="0" borderId="0" xfId="2" applyFont="1" applyBorder="1"/>
    <xf numFmtId="41" fontId="13" fillId="0" borderId="0" xfId="0" applyNumberFormat="1" applyFont="1" applyAlignment="1">
      <alignment horizontal="center"/>
    </xf>
    <xf numFmtId="41" fontId="16" fillId="0" borderId="0" xfId="2" applyNumberFormat="1" applyFont="1" applyBorder="1" applyAlignment="1">
      <alignment horizontal="right"/>
    </xf>
    <xf numFmtId="41" fontId="13" fillId="0" borderId="0" xfId="0" applyNumberFormat="1" applyFont="1" applyAlignment="1">
      <alignment horizontal="right"/>
    </xf>
    <xf numFmtId="44" fontId="13" fillId="0" borderId="0" xfId="2" applyFont="1"/>
    <xf numFmtId="41" fontId="12" fillId="0" borderId="0" xfId="0" applyNumberFormat="1" applyFont="1"/>
    <xf numFmtId="44" fontId="15" fillId="0" borderId="0" xfId="2" applyFont="1"/>
    <xf numFmtId="41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 wrapText="1"/>
    </xf>
    <xf numFmtId="44" fontId="12" fillId="0" borderId="1" xfId="2" applyFont="1" applyFill="1" applyBorder="1" applyAlignment="1">
      <alignment horizontal="center" wrapText="1"/>
    </xf>
    <xf numFmtId="44" fontId="12" fillId="0" borderId="1" xfId="2" applyFont="1" applyBorder="1" applyAlignment="1">
      <alignment horizontal="center" wrapText="1"/>
    </xf>
    <xf numFmtId="41" fontId="13" fillId="0" borderId="1" xfId="0" applyNumberFormat="1" applyFont="1" applyBorder="1"/>
    <xf numFmtId="41" fontId="14" fillId="0" borderId="1" xfId="0" applyNumberFormat="1" applyFont="1" applyBorder="1" applyAlignment="1">
      <alignment horizontal="left"/>
    </xf>
    <xf numFmtId="44" fontId="14" fillId="0" borderId="1" xfId="2" applyFont="1" applyBorder="1"/>
    <xf numFmtId="43" fontId="14" fillId="0" borderId="1" xfId="1" applyFont="1" applyBorder="1"/>
    <xf numFmtId="41" fontId="13" fillId="0" borderId="1" xfId="0" applyNumberFormat="1" applyFont="1" applyBorder="1" applyAlignment="1">
      <alignment horizontal="left" indent="2"/>
    </xf>
    <xf numFmtId="41" fontId="14" fillId="0" borderId="1" xfId="0" applyNumberFormat="1" applyFont="1" applyBorder="1"/>
    <xf numFmtId="41" fontId="13" fillId="2" borderId="1" xfId="0" applyNumberFormat="1" applyFont="1" applyFill="1" applyBorder="1"/>
    <xf numFmtId="44" fontId="14" fillId="2" borderId="1" xfId="2" applyFont="1" applyFill="1" applyBorder="1"/>
    <xf numFmtId="41" fontId="14" fillId="0" borderId="1" xfId="0" applyNumberFormat="1" applyFont="1" applyBorder="1" applyAlignment="1">
      <alignment horizontal="left" indent="1"/>
    </xf>
    <xf numFmtId="44" fontId="14" fillId="0" borderId="1" xfId="2" applyFont="1" applyFill="1" applyBorder="1"/>
    <xf numFmtId="41" fontId="14" fillId="0" borderId="1" xfId="0" applyNumberFormat="1" applyFont="1" applyBorder="1" applyAlignment="1">
      <alignment horizontal="right"/>
    </xf>
    <xf numFmtId="43" fontId="14" fillId="0" borderId="1" xfId="1" applyFont="1" applyFill="1" applyBorder="1"/>
    <xf numFmtId="44" fontId="0" fillId="0" borderId="0" xfId="2" applyFont="1" applyAlignment="1">
      <alignment horizontal="center"/>
    </xf>
    <xf numFmtId="0" fontId="0" fillId="0" borderId="0" xfId="0" applyFill="1" applyAlignment="1">
      <alignment horizontal="center"/>
    </xf>
    <xf numFmtId="44" fontId="0" fillId="0" borderId="0" xfId="2" applyFont="1" applyFill="1" applyAlignment="1">
      <alignment horizontal="center"/>
    </xf>
    <xf numFmtId="44" fontId="0" fillId="0" borderId="0" xfId="2" applyFont="1" applyFill="1"/>
    <xf numFmtId="1" fontId="0" fillId="0" borderId="0" xfId="2" applyNumberFormat="1" applyFont="1" applyAlignment="1">
      <alignment horizontal="center"/>
    </xf>
    <xf numFmtId="1" fontId="0" fillId="0" borderId="0" xfId="2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44" fontId="0" fillId="0" borderId="1" xfId="2" applyFont="1" applyBorder="1" applyAlignment="1">
      <alignment horizontal="center"/>
    </xf>
    <xf numFmtId="1" fontId="0" fillId="0" borderId="1" xfId="2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4" fontId="0" fillId="0" borderId="1" xfId="2" applyFont="1" applyFill="1" applyBorder="1" applyAlignment="1">
      <alignment horizontal="center"/>
    </xf>
    <xf numFmtId="44" fontId="0" fillId="0" borderId="1" xfId="2" applyFont="1" applyFill="1" applyBorder="1"/>
    <xf numFmtId="1" fontId="0" fillId="0" borderId="1" xfId="2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44" fontId="0" fillId="5" borderId="1" xfId="2" applyFont="1" applyFill="1" applyBorder="1" applyAlignment="1">
      <alignment horizontal="center"/>
    </xf>
    <xf numFmtId="1" fontId="0" fillId="5" borderId="1" xfId="2" applyNumberFormat="1" applyFont="1" applyFill="1" applyBorder="1" applyAlignment="1">
      <alignment horizontal="center"/>
    </xf>
    <xf numFmtId="44" fontId="0" fillId="6" borderId="0" xfId="2" applyFont="1" applyFill="1" applyAlignment="1">
      <alignment horizontal="center" wrapText="1"/>
    </xf>
    <xf numFmtId="44" fontId="0" fillId="0" borderId="0" xfId="2" applyFont="1" applyFill="1" applyAlignment="1">
      <alignment horizontal="center" wrapText="1"/>
    </xf>
    <xf numFmtId="0" fontId="4" fillId="0" borderId="1" xfId="0" applyFont="1" applyFill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10" fontId="0" fillId="0" borderId="0" xfId="3" applyNumberFormat="1" applyFont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/>
    <xf numFmtId="44" fontId="0" fillId="3" borderId="1" xfId="2" applyFont="1" applyFill="1" applyBorder="1" applyAlignment="1">
      <alignment horizontal="center"/>
    </xf>
    <xf numFmtId="44" fontId="0" fillId="3" borderId="1" xfId="2" applyFont="1" applyFill="1" applyBorder="1"/>
    <xf numFmtId="1" fontId="0" fillId="3" borderId="1" xfId="2" applyNumberFormat="1" applyFont="1" applyFill="1" applyBorder="1" applyAlignment="1">
      <alignment horizontal="center"/>
    </xf>
    <xf numFmtId="44" fontId="0" fillId="0" borderId="2" xfId="2" applyFont="1" applyBorder="1"/>
    <xf numFmtId="0" fontId="0" fillId="0" borderId="0" xfId="0" applyFill="1" applyBorder="1" applyAlignment="1">
      <alignment horizontal="center" wrapText="1"/>
    </xf>
    <xf numFmtId="44" fontId="0" fillId="0" borderId="0" xfId="2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44" fontId="0" fillId="0" borderId="0" xfId="2" applyFont="1" applyFill="1" applyBorder="1"/>
    <xf numFmtId="10" fontId="0" fillId="0" borderId="0" xfId="0" applyNumberFormat="1"/>
    <xf numFmtId="44" fontId="0" fillId="4" borderId="1" xfId="2" applyFont="1" applyFill="1" applyBorder="1"/>
    <xf numFmtId="0" fontId="3" fillId="0" borderId="1" xfId="0" applyFont="1" applyFill="1" applyBorder="1"/>
    <xf numFmtId="0" fontId="3" fillId="0" borderId="1" xfId="4" applyFont="1" applyFill="1" applyBorder="1" applyAlignment="1">
      <alignment horizontal="center" wrapText="1"/>
    </xf>
    <xf numFmtId="0" fontId="3" fillId="0" borderId="1" xfId="4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3" fillId="0" borderId="1" xfId="6" applyFont="1" applyFill="1" applyBorder="1" applyAlignment="1">
      <alignment horizontal="left"/>
    </xf>
    <xf numFmtId="0" fontId="8" fillId="0" borderId="1" xfId="4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left"/>
    </xf>
    <xf numFmtId="44" fontId="2" fillId="6" borderId="0" xfId="2" applyFont="1" applyFill="1" applyAlignment="1">
      <alignment horizontal="center" wrapText="1"/>
    </xf>
    <xf numFmtId="44" fontId="0" fillId="8" borderId="1" xfId="2" applyFont="1" applyFill="1" applyBorder="1"/>
    <xf numFmtId="44" fontId="0" fillId="6" borderId="0" xfId="2" applyFont="1" applyFill="1"/>
    <xf numFmtId="0" fontId="0" fillId="8" borderId="1" xfId="0" applyFill="1" applyBorder="1" applyAlignment="1">
      <alignment horizontal="center"/>
    </xf>
    <xf numFmtId="44" fontId="0" fillId="8" borderId="1" xfId="2" applyFont="1" applyFill="1" applyBorder="1" applyAlignment="1">
      <alignment horizontal="center"/>
    </xf>
    <xf numFmtId="1" fontId="0" fillId="8" borderId="1" xfId="2" applyNumberFormat="1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center" wrapText="1"/>
    </xf>
    <xf numFmtId="166" fontId="14" fillId="0" borderId="0" xfId="2" applyNumberFormat="1" applyFont="1" applyFill="1" applyBorder="1"/>
    <xf numFmtId="41" fontId="15" fillId="0" borderId="0" xfId="1" applyNumberFormat="1" applyFont="1" applyBorder="1"/>
    <xf numFmtId="166" fontId="16" fillId="0" borderId="0" xfId="2" applyNumberFormat="1" applyFont="1" applyBorder="1"/>
    <xf numFmtId="167" fontId="14" fillId="0" borderId="0" xfId="0" applyNumberFormat="1" applyFont="1"/>
    <xf numFmtId="166" fontId="14" fillId="0" borderId="0" xfId="2" applyNumberFormat="1" applyFont="1" applyBorder="1"/>
    <xf numFmtId="10" fontId="14" fillId="0" borderId="0" xfId="3" applyNumberFormat="1" applyFont="1" applyBorder="1"/>
    <xf numFmtId="164" fontId="14" fillId="0" borderId="0" xfId="1" applyNumberFormat="1" applyFont="1" applyBorder="1"/>
    <xf numFmtId="41" fontId="14" fillId="0" borderId="0" xfId="3" applyNumberFormat="1" applyFont="1" applyBorder="1"/>
    <xf numFmtId="41" fontId="19" fillId="0" borderId="0" xfId="3" applyNumberFormat="1" applyFont="1" applyBorder="1"/>
    <xf numFmtId="41" fontId="15" fillId="0" borderId="0" xfId="0" applyNumberFormat="1" applyFont="1"/>
    <xf numFmtId="166" fontId="16" fillId="0" borderId="0" xfId="2" applyNumberFormat="1" applyFont="1" applyFill="1" applyBorder="1"/>
    <xf numFmtId="41" fontId="19" fillId="0" borderId="0" xfId="0" applyNumberFormat="1" applyFont="1"/>
    <xf numFmtId="166" fontId="16" fillId="0" borderId="0" xfId="2" applyNumberFormat="1" applyFont="1"/>
    <xf numFmtId="164" fontId="14" fillId="0" borderId="0" xfId="3" applyNumberFormat="1" applyFont="1" applyAlignment="1">
      <alignment horizontal="left"/>
    </xf>
    <xf numFmtId="164" fontId="15" fillId="0" borderId="0" xfId="3" applyNumberFormat="1" applyFont="1" applyAlignment="1">
      <alignment horizontal="left"/>
    </xf>
    <xf numFmtId="43" fontId="15" fillId="0" borderId="0" xfId="0" applyNumberFormat="1" applyFont="1"/>
    <xf numFmtId="43" fontId="14" fillId="0" borderId="0" xfId="0" applyNumberFormat="1" applyFont="1"/>
    <xf numFmtId="43" fontId="14" fillId="0" borderId="0" xfId="1" applyFont="1"/>
    <xf numFmtId="166" fontId="15" fillId="0" borderId="0" xfId="2" applyNumberFormat="1" applyFont="1" applyBorder="1"/>
    <xf numFmtId="41" fontId="15" fillId="0" borderId="0" xfId="0" applyNumberFormat="1" applyFont="1" applyAlignment="1">
      <alignment wrapText="1"/>
    </xf>
    <xf numFmtId="41" fontId="20" fillId="0" borderId="0" xfId="0" applyNumberFormat="1" applyFont="1"/>
    <xf numFmtId="42" fontId="16" fillId="0" borderId="0" xfId="0" applyNumberFormat="1" applyFont="1"/>
    <xf numFmtId="10" fontId="14" fillId="0" borderId="0" xfId="0" applyNumberFormat="1" applyFont="1"/>
    <xf numFmtId="10" fontId="16" fillId="0" borderId="0" xfId="3" applyNumberFormat="1" applyFont="1" applyFill="1" applyBorder="1"/>
    <xf numFmtId="0" fontId="21" fillId="0" borderId="1" xfId="4" applyFont="1" applyFill="1" applyBorder="1" applyAlignment="1">
      <alignment horizontal="left"/>
    </xf>
    <xf numFmtId="0" fontId="22" fillId="0" borderId="0" xfId="0" applyFont="1"/>
    <xf numFmtId="166" fontId="14" fillId="0" borderId="0" xfId="2" applyNumberFormat="1" applyFont="1"/>
    <xf numFmtId="166" fontId="19" fillId="0" borderId="0" xfId="2" applyNumberFormat="1" applyFont="1" applyBorder="1"/>
    <xf numFmtId="166" fontId="15" fillId="0" borderId="0" xfId="2" applyNumberFormat="1" applyFont="1"/>
    <xf numFmtId="166" fontId="13" fillId="0" borderId="0" xfId="2" applyNumberFormat="1" applyFont="1"/>
    <xf numFmtId="166" fontId="14" fillId="0" borderId="0" xfId="2" applyNumberFormat="1" applyFont="1" applyAlignment="1">
      <alignment horizontal="left"/>
    </xf>
    <xf numFmtId="166" fontId="15" fillId="0" borderId="0" xfId="2" applyNumberFormat="1" applyFont="1" applyAlignment="1">
      <alignment horizontal="left"/>
    </xf>
    <xf numFmtId="168" fontId="14" fillId="0" borderId="0" xfId="0" applyNumberFormat="1" applyFont="1" applyFill="1"/>
    <xf numFmtId="167" fontId="14" fillId="0" borderId="0" xfId="0" applyNumberFormat="1" applyFont="1" applyFill="1"/>
    <xf numFmtId="0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left"/>
    </xf>
    <xf numFmtId="49" fontId="4" fillId="6" borderId="1" xfId="0" applyNumberFormat="1" applyFont="1" applyFill="1" applyBorder="1" applyAlignment="1">
      <alignment horizontal="left"/>
    </xf>
    <xf numFmtId="2" fontId="4" fillId="6" borderId="1" xfId="0" applyNumberFormat="1" applyFont="1" applyFill="1" applyBorder="1" applyAlignment="1">
      <alignment horizontal="left"/>
    </xf>
    <xf numFmtId="0" fontId="4" fillId="10" borderId="1" xfId="0" applyNumberFormat="1" applyFont="1" applyFill="1" applyBorder="1" applyAlignment="1">
      <alignment horizontal="center"/>
    </xf>
    <xf numFmtId="2" fontId="4" fillId="10" borderId="1" xfId="0" applyNumberFormat="1" applyFont="1" applyFill="1" applyBorder="1" applyAlignment="1">
      <alignment horizontal="left"/>
    </xf>
    <xf numFmtId="49" fontId="4" fillId="10" borderId="1" xfId="0" applyNumberFormat="1" applyFont="1" applyFill="1" applyBorder="1" applyAlignment="1">
      <alignment horizontal="left"/>
    </xf>
    <xf numFmtId="0" fontId="4" fillId="10" borderId="1" xfId="0" applyFont="1" applyFill="1" applyBorder="1" applyAlignment="1">
      <alignment horizontal="left"/>
    </xf>
    <xf numFmtId="41" fontId="20" fillId="0" borderId="1" xfId="0" applyNumberFormat="1" applyFont="1" applyBorder="1"/>
    <xf numFmtId="41" fontId="15" fillId="0" borderId="1" xfId="0" applyNumberFormat="1" applyFont="1" applyBorder="1"/>
    <xf numFmtId="166" fontId="14" fillId="0" borderId="1" xfId="2" applyNumberFormat="1" applyFont="1" applyBorder="1"/>
    <xf numFmtId="166" fontId="15" fillId="0" borderId="1" xfId="2" applyNumberFormat="1" applyFont="1" applyBorder="1"/>
    <xf numFmtId="166" fontId="22" fillId="7" borderId="0" xfId="0" applyNumberFormat="1" applyFont="1" applyFill="1"/>
    <xf numFmtId="166" fontId="4" fillId="0" borderId="0" xfId="2" applyNumberFormat="1" applyFont="1" applyAlignment="1">
      <alignment horizontal="left"/>
    </xf>
    <xf numFmtId="166" fontId="4" fillId="0" borderId="1" xfId="2" applyNumberFormat="1" applyFont="1" applyBorder="1" applyAlignment="1">
      <alignment horizontal="center" wrapText="1"/>
    </xf>
    <xf numFmtId="166" fontId="4" fillId="10" borderId="1" xfId="2" applyNumberFormat="1" applyFont="1" applyFill="1" applyBorder="1" applyAlignment="1">
      <alignment horizontal="center" wrapText="1"/>
    </xf>
    <xf numFmtId="166" fontId="4" fillId="10" borderId="1" xfId="2" applyNumberFormat="1" applyFont="1" applyFill="1" applyBorder="1" applyAlignment="1">
      <alignment horizontal="left"/>
    </xf>
    <xf numFmtId="166" fontId="4" fillId="0" borderId="1" xfId="2" applyNumberFormat="1" applyFont="1" applyBorder="1" applyAlignment="1">
      <alignment horizontal="left"/>
    </xf>
    <xf numFmtId="166" fontId="4" fillId="3" borderId="1" xfId="2" applyNumberFormat="1" applyFont="1" applyFill="1" applyBorder="1" applyAlignment="1">
      <alignment horizontal="left"/>
    </xf>
    <xf numFmtId="166" fontId="4" fillId="6" borderId="1" xfId="2" applyNumberFormat="1" applyFont="1" applyFill="1" applyBorder="1" applyAlignment="1">
      <alignment horizontal="left"/>
    </xf>
    <xf numFmtId="166" fontId="17" fillId="10" borderId="1" xfId="2" applyNumberFormat="1" applyFont="1" applyFill="1" applyBorder="1" applyAlignment="1">
      <alignment horizontal="left"/>
    </xf>
    <xf numFmtId="166" fontId="4" fillId="0" borderId="1" xfId="2" applyNumberFormat="1" applyFont="1" applyFill="1" applyBorder="1" applyAlignment="1">
      <alignment horizontal="left"/>
    </xf>
    <xf numFmtId="166" fontId="9" fillId="0" borderId="0" xfId="2" applyNumberFormat="1" applyFont="1" applyAlignment="1">
      <alignment horizontal="center" wrapText="1"/>
    </xf>
    <xf numFmtId="166" fontId="10" fillId="0" borderId="0" xfId="2" applyNumberFormat="1" applyFont="1" applyFill="1" applyAlignment="1">
      <alignment horizontal="center" wrapText="1"/>
    </xf>
    <xf numFmtId="166" fontId="2" fillId="0" borderId="1" xfId="2" applyNumberFormat="1" applyFont="1" applyFill="1" applyBorder="1"/>
    <xf numFmtId="166" fontId="0" fillId="0" borderId="1" xfId="2" applyNumberFormat="1" applyFont="1" applyFill="1" applyBorder="1"/>
    <xf numFmtId="166" fontId="0" fillId="0" borderId="0" xfId="2" applyNumberFormat="1" applyFont="1"/>
    <xf numFmtId="44" fontId="0" fillId="0" borderId="0" xfId="0" applyNumberFormat="1"/>
    <xf numFmtId="10" fontId="12" fillId="0" borderId="0" xfId="3" applyNumberFormat="1" applyFont="1" applyFill="1" applyBorder="1" applyAlignment="1">
      <alignment horizontal="center" wrapText="1"/>
    </xf>
    <xf numFmtId="10" fontId="14" fillId="0" borderId="0" xfId="3" applyNumberFormat="1" applyFont="1"/>
    <xf numFmtId="49" fontId="17" fillId="3" borderId="1" xfId="0" applyNumberFormat="1" applyFont="1" applyFill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49" fontId="17" fillId="10" borderId="1" xfId="0" applyNumberFormat="1" applyFont="1" applyFill="1" applyBorder="1" applyAlignment="1">
      <alignment horizontal="left"/>
    </xf>
    <xf numFmtId="0" fontId="17" fillId="10" borderId="1" xfId="0" applyFont="1" applyFill="1" applyBorder="1" applyAlignment="1">
      <alignment horizontal="left"/>
    </xf>
    <xf numFmtId="41" fontId="14" fillId="0" borderId="0" xfId="0" applyNumberFormat="1" applyFont="1" applyAlignment="1">
      <alignment horizontal="center"/>
    </xf>
    <xf numFmtId="41" fontId="12" fillId="0" borderId="0" xfId="0" applyNumberFormat="1" applyFont="1" applyAlignment="1">
      <alignment horizontal="center" wrapText="1"/>
    </xf>
    <xf numFmtId="0" fontId="24" fillId="0" borderId="0" xfId="0" applyFont="1"/>
    <xf numFmtId="0" fontId="14" fillId="0" borderId="0" xfId="0" applyFont="1"/>
    <xf numFmtId="166" fontId="14" fillId="0" borderId="1" xfId="2" applyNumberFormat="1" applyFont="1" applyFill="1" applyBorder="1"/>
    <xf numFmtId="166" fontId="14" fillId="8" borderId="1" xfId="2" applyNumberFormat="1" applyFont="1" applyFill="1" applyBorder="1"/>
    <xf numFmtId="164" fontId="14" fillId="8" borderId="1" xfId="1" applyNumberFormat="1" applyFont="1" applyFill="1" applyBorder="1"/>
    <xf numFmtId="10" fontId="14" fillId="0" borderId="1" xfId="3" applyNumberFormat="1" applyFont="1" applyFill="1" applyBorder="1"/>
    <xf numFmtId="166" fontId="15" fillId="0" borderId="1" xfId="2" applyNumberFormat="1" applyFont="1" applyFill="1" applyBorder="1"/>
    <xf numFmtId="164" fontId="15" fillId="8" borderId="1" xfId="1" applyNumberFormat="1" applyFont="1" applyFill="1" applyBorder="1"/>
    <xf numFmtId="41" fontId="14" fillId="8" borderId="1" xfId="0" applyNumberFormat="1" applyFont="1" applyFill="1" applyBorder="1"/>
    <xf numFmtId="41" fontId="14" fillId="8" borderId="1" xfId="1" applyNumberFormat="1" applyFont="1" applyFill="1" applyBorder="1"/>
    <xf numFmtId="41" fontId="15" fillId="8" borderId="1" xfId="1" applyNumberFormat="1" applyFont="1" applyFill="1" applyBorder="1"/>
    <xf numFmtId="166" fontId="16" fillId="0" borderId="1" xfId="2" applyNumberFormat="1" applyFont="1" applyBorder="1"/>
    <xf numFmtId="166" fontId="16" fillId="8" borderId="1" xfId="2" applyNumberFormat="1" applyFont="1" applyFill="1" applyBorder="1"/>
    <xf numFmtId="10" fontId="14" fillId="0" borderId="1" xfId="3" applyNumberFormat="1" applyFont="1" applyBorder="1"/>
    <xf numFmtId="2" fontId="14" fillId="0" borderId="1" xfId="2" applyNumberFormat="1" applyFont="1" applyFill="1" applyBorder="1"/>
    <xf numFmtId="167" fontId="14" fillId="0" borderId="1" xfId="0" applyNumberFormat="1" applyFont="1" applyBorder="1"/>
    <xf numFmtId="43" fontId="14" fillId="8" borderId="1" xfId="1" applyFont="1" applyFill="1" applyBorder="1"/>
    <xf numFmtId="166" fontId="14" fillId="0" borderId="1" xfId="2" applyNumberFormat="1" applyFont="1" applyBorder="1" applyAlignment="1">
      <alignment horizontal="right"/>
    </xf>
    <xf numFmtId="41" fontId="15" fillId="0" borderId="1" xfId="0" applyNumberFormat="1" applyFont="1" applyBorder="1" applyAlignment="1">
      <alignment horizontal="right"/>
    </xf>
    <xf numFmtId="166" fontId="13" fillId="0" borderId="1" xfId="2" applyNumberFormat="1" applyFont="1" applyBorder="1" applyAlignment="1">
      <alignment horizontal="right"/>
    </xf>
    <xf numFmtId="166" fontId="25" fillId="0" borderId="1" xfId="2" applyNumberFormat="1" applyFont="1" applyBorder="1"/>
    <xf numFmtId="166" fontId="14" fillId="9" borderId="1" xfId="2" applyNumberFormat="1" applyFont="1" applyFill="1" applyBorder="1"/>
    <xf numFmtId="0" fontId="0" fillId="0" borderId="0" xfId="0" applyFont="1"/>
    <xf numFmtId="0" fontId="0" fillId="0" borderId="0" xfId="0" applyFont="1" applyBorder="1"/>
    <xf numFmtId="0" fontId="22" fillId="11" borderId="1" xfId="0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left"/>
    </xf>
    <xf numFmtId="166" fontId="26" fillId="0" borderId="1" xfId="2" applyNumberFormat="1" applyFont="1" applyBorder="1" applyAlignment="1">
      <alignment horizontal="left"/>
    </xf>
    <xf numFmtId="166" fontId="26" fillId="10" borderId="1" xfId="2" applyNumberFormat="1" applyFont="1" applyFill="1" applyBorder="1" applyAlignment="1">
      <alignment horizontal="left"/>
    </xf>
    <xf numFmtId="170" fontId="0" fillId="0" borderId="0" xfId="0" applyNumberFormat="1" applyAlignment="1">
      <alignment horizontal="center"/>
    </xf>
    <xf numFmtId="16" fontId="0" fillId="0" borderId="0" xfId="0" applyNumberFormat="1"/>
    <xf numFmtId="44" fontId="0" fillId="3" borderId="0" xfId="2" applyFont="1" applyFill="1" applyBorder="1" applyAlignment="1">
      <alignment horizontal="center"/>
    </xf>
    <xf numFmtId="10" fontId="0" fillId="0" borderId="0" xfId="3" applyNumberFormat="1" applyFont="1" applyFill="1"/>
    <xf numFmtId="10" fontId="4" fillId="0" borderId="6" xfId="3" applyNumberFormat="1" applyFont="1" applyFill="1" applyBorder="1" applyAlignment="1">
      <alignment horizontal="center" wrapText="1"/>
    </xf>
    <xf numFmtId="10" fontId="15" fillId="0" borderId="1" xfId="3" applyNumberFormat="1" applyFont="1" applyFill="1" applyBorder="1"/>
    <xf numFmtId="10" fontId="15" fillId="0" borderId="1" xfId="3" applyNumberFormat="1" applyFont="1" applyBorder="1"/>
    <xf numFmtId="10" fontId="19" fillId="0" borderId="0" xfId="3" applyNumberFormat="1" applyFont="1" applyBorder="1"/>
    <xf numFmtId="10" fontId="15" fillId="0" borderId="0" xfId="3" applyNumberFormat="1" applyFont="1" applyBorder="1"/>
    <xf numFmtId="10" fontId="16" fillId="0" borderId="0" xfId="3" applyNumberFormat="1" applyFont="1" applyBorder="1"/>
    <xf numFmtId="10" fontId="15" fillId="0" borderId="0" xfId="3" applyNumberFormat="1" applyFont="1"/>
    <xf numFmtId="10" fontId="16" fillId="0" borderId="0" xfId="3" applyNumberFormat="1" applyFont="1"/>
    <xf numFmtId="10" fontId="13" fillId="0" borderId="0" xfId="3" applyNumberFormat="1" applyFont="1"/>
    <xf numFmtId="10" fontId="15" fillId="0" borderId="0" xfId="3" applyNumberFormat="1" applyFont="1" applyAlignment="1">
      <alignment horizontal="left"/>
    </xf>
    <xf numFmtId="164" fontId="12" fillId="12" borderId="0" xfId="1" applyNumberFormat="1" applyFont="1" applyFill="1" applyBorder="1" applyAlignment="1">
      <alignment horizontal="center" wrapText="1"/>
    </xf>
    <xf numFmtId="41" fontId="14" fillId="12" borderId="1" xfId="0" applyNumberFormat="1" applyFont="1" applyFill="1" applyBorder="1"/>
    <xf numFmtId="166" fontId="14" fillId="12" borderId="1" xfId="2" applyNumberFormat="1" applyFont="1" applyFill="1" applyBorder="1"/>
    <xf numFmtId="41" fontId="15" fillId="12" borderId="1" xfId="0" applyNumberFormat="1" applyFont="1" applyFill="1" applyBorder="1"/>
    <xf numFmtId="42" fontId="16" fillId="12" borderId="0" xfId="0" applyNumberFormat="1" applyFont="1" applyFill="1"/>
    <xf numFmtId="41" fontId="14" fillId="12" borderId="0" xfId="0" applyNumberFormat="1" applyFont="1" applyFill="1"/>
    <xf numFmtId="41" fontId="12" fillId="12" borderId="0" xfId="3" applyNumberFormat="1" applyFont="1" applyFill="1" applyBorder="1" applyAlignment="1">
      <alignment horizontal="center" wrapText="1"/>
    </xf>
    <xf numFmtId="10" fontId="14" fillId="12" borderId="0" xfId="0" applyNumberFormat="1" applyFont="1" applyFill="1"/>
    <xf numFmtId="10" fontId="14" fillId="12" borderId="0" xfId="3" applyNumberFormat="1" applyFont="1" applyFill="1" applyBorder="1"/>
    <xf numFmtId="10" fontId="19" fillId="12" borderId="0" xfId="3" applyNumberFormat="1" applyFont="1" applyFill="1" applyBorder="1"/>
    <xf numFmtId="10" fontId="16" fillId="12" borderId="0" xfId="3" applyNumberFormat="1" applyFont="1" applyFill="1" applyBorder="1"/>
    <xf numFmtId="10" fontId="23" fillId="12" borderId="0" xfId="3" applyNumberFormat="1" applyFont="1" applyFill="1" applyBorder="1"/>
    <xf numFmtId="166" fontId="14" fillId="13" borderId="1" xfId="2" applyNumberFormat="1" applyFont="1" applyFill="1" applyBorder="1"/>
    <xf numFmtId="10" fontId="12" fillId="13" borderId="0" xfId="3" applyNumberFormat="1" applyFont="1" applyFill="1" applyBorder="1" applyAlignment="1">
      <alignment horizontal="center" wrapText="1"/>
    </xf>
    <xf numFmtId="10" fontId="0" fillId="13" borderId="0" xfId="3" applyNumberFormat="1" applyFont="1" applyFill="1"/>
    <xf numFmtId="10" fontId="14" fillId="13" borderId="0" xfId="3" applyNumberFormat="1" applyFont="1" applyFill="1"/>
    <xf numFmtId="166" fontId="12" fillId="13" borderId="0" xfId="2" applyNumberFormat="1" applyFont="1" applyFill="1" applyBorder="1" applyAlignment="1">
      <alignment horizontal="center" wrapText="1"/>
    </xf>
    <xf numFmtId="166" fontId="15" fillId="13" borderId="1" xfId="2" applyNumberFormat="1" applyFont="1" applyFill="1" applyBorder="1"/>
    <xf numFmtId="166" fontId="16" fillId="13" borderId="0" xfId="2" applyNumberFormat="1" applyFont="1" applyFill="1"/>
    <xf numFmtId="166" fontId="14" fillId="13" borderId="0" xfId="2" applyNumberFormat="1" applyFont="1" applyFill="1"/>
    <xf numFmtId="166" fontId="14" fillId="0" borderId="0" xfId="2" applyNumberFormat="1" applyFont="1" applyFill="1"/>
    <xf numFmtId="166" fontId="22" fillId="7" borderId="0" xfId="2" applyNumberFormat="1" applyFont="1" applyFill="1"/>
    <xf numFmtId="166" fontId="22" fillId="0" borderId="0" xfId="2" applyNumberFormat="1" applyFont="1"/>
    <xf numFmtId="171" fontId="0" fillId="0" borderId="0" xfId="3" applyNumberFormat="1" applyFont="1" applyFill="1"/>
    <xf numFmtId="10" fontId="28" fillId="13" borderId="0" xfId="3" applyNumberFormat="1" applyFont="1" applyFill="1"/>
    <xf numFmtId="10" fontId="28" fillId="0" borderId="0" xfId="3" applyNumberFormat="1" applyFont="1"/>
    <xf numFmtId="44" fontId="0" fillId="8" borderId="0" xfId="2" applyFont="1" applyFill="1"/>
    <xf numFmtId="0" fontId="0" fillId="0" borderId="1" xfId="0" applyBorder="1"/>
    <xf numFmtId="44" fontId="0" fillId="3" borderId="0" xfId="2" applyFont="1" applyFill="1"/>
    <xf numFmtId="165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44" fontId="0" fillId="0" borderId="1" xfId="0" applyNumberFormat="1" applyBorder="1"/>
    <xf numFmtId="0" fontId="29" fillId="0" borderId="1" xfId="0" applyFont="1" applyFill="1" applyBorder="1" applyAlignment="1">
      <alignment horizontal="left"/>
    </xf>
    <xf numFmtId="166" fontId="27" fillId="0" borderId="1" xfId="2" applyNumberFormat="1" applyFont="1" applyFill="1" applyBorder="1"/>
    <xf numFmtId="49" fontId="26" fillId="0" borderId="1" xfId="0" applyNumberFormat="1" applyFont="1" applyFill="1" applyBorder="1" applyAlignment="1">
      <alignment horizontal="left"/>
    </xf>
    <xf numFmtId="0" fontId="26" fillId="0" borderId="1" xfId="0" applyFont="1" applyFill="1" applyBorder="1" applyAlignment="1">
      <alignment horizontal="left"/>
    </xf>
    <xf numFmtId="166" fontId="26" fillId="0" borderId="1" xfId="2" applyNumberFormat="1" applyFont="1" applyFill="1" applyBorder="1" applyAlignment="1">
      <alignment horizontal="left"/>
    </xf>
    <xf numFmtId="44" fontId="0" fillId="0" borderId="0" xfId="0" applyNumberFormat="1" applyFill="1"/>
    <xf numFmtId="49" fontId="26" fillId="3" borderId="1" xfId="0" applyNumberFormat="1" applyFont="1" applyFill="1" applyBorder="1" applyAlignment="1">
      <alignment horizontal="left"/>
    </xf>
    <xf numFmtId="0" fontId="26" fillId="3" borderId="1" xfId="0" applyFont="1" applyFill="1" applyBorder="1" applyAlignment="1">
      <alignment horizontal="left"/>
    </xf>
    <xf numFmtId="166" fontId="26" fillId="3" borderId="1" xfId="2" applyNumberFormat="1" applyFont="1" applyFill="1" applyBorder="1" applyAlignment="1">
      <alignment horizontal="left"/>
    </xf>
    <xf numFmtId="49" fontId="26" fillId="6" borderId="1" xfId="0" applyNumberFormat="1" applyFont="1" applyFill="1" applyBorder="1" applyAlignment="1">
      <alignment horizontal="left"/>
    </xf>
    <xf numFmtId="0" fontId="26" fillId="6" borderId="1" xfId="0" applyFont="1" applyFill="1" applyBorder="1" applyAlignment="1">
      <alignment horizontal="left"/>
    </xf>
    <xf numFmtId="166" fontId="26" fillId="6" borderId="1" xfId="2" applyNumberFormat="1" applyFont="1" applyFill="1" applyBorder="1" applyAlignment="1">
      <alignment horizontal="left"/>
    </xf>
    <xf numFmtId="2" fontId="26" fillId="3" borderId="1" xfId="0" applyNumberFormat="1" applyFont="1" applyFill="1" applyBorder="1" applyAlignment="1">
      <alignment horizontal="left"/>
    </xf>
    <xf numFmtId="49" fontId="26" fillId="0" borderId="1" xfId="0" applyNumberFormat="1" applyFont="1" applyBorder="1" applyAlignment="1">
      <alignment horizontal="left"/>
    </xf>
    <xf numFmtId="2" fontId="26" fillId="0" borderId="1" xfId="0" applyNumberFormat="1" applyFont="1" applyBorder="1" applyAlignment="1">
      <alignment horizontal="left"/>
    </xf>
    <xf numFmtId="0" fontId="30" fillId="0" borderId="0" xfId="0" applyFont="1"/>
    <xf numFmtId="0" fontId="31" fillId="0" borderId="0" xfId="0" applyFont="1" applyAlignment="1">
      <alignment horizontal="center"/>
    </xf>
    <xf numFmtId="0" fontId="31" fillId="0" borderId="0" xfId="0" applyFont="1"/>
    <xf numFmtId="44" fontId="15" fillId="0" borderId="1" xfId="2" applyFont="1" applyBorder="1"/>
    <xf numFmtId="44" fontId="13" fillId="0" borderId="1" xfId="2" applyFont="1" applyBorder="1"/>
    <xf numFmtId="44" fontId="14" fillId="0" borderId="1" xfId="2" applyFont="1" applyBorder="1" applyAlignment="1">
      <alignment horizontal="right"/>
    </xf>
    <xf numFmtId="44" fontId="15" fillId="0" borderId="1" xfId="2" applyFont="1" applyBorder="1" applyAlignment="1">
      <alignment horizontal="right"/>
    </xf>
    <xf numFmtId="41" fontId="14" fillId="0" borderId="1" xfId="0" applyNumberFormat="1" applyFont="1" applyBorder="1" applyAlignment="1">
      <alignment horizontal="center"/>
    </xf>
    <xf numFmtId="41" fontId="13" fillId="2" borderId="1" xfId="0" applyNumberFormat="1" applyFont="1" applyFill="1" applyBorder="1" applyAlignment="1">
      <alignment horizontal="center"/>
    </xf>
    <xf numFmtId="41" fontId="14" fillId="2" borderId="1" xfId="0" applyNumberFormat="1" applyFont="1" applyFill="1" applyBorder="1" applyAlignment="1">
      <alignment horizontal="center"/>
    </xf>
    <xf numFmtId="44" fontId="14" fillId="10" borderId="1" xfId="2" applyFont="1" applyFill="1" applyBorder="1"/>
    <xf numFmtId="41" fontId="14" fillId="10" borderId="1" xfId="0" applyNumberFormat="1" applyFont="1" applyFill="1" applyBorder="1" applyAlignment="1">
      <alignment horizontal="center"/>
    </xf>
    <xf numFmtId="41" fontId="13" fillId="0" borderId="1" xfId="0" applyNumberFormat="1" applyFont="1" applyBorder="1" applyAlignment="1">
      <alignment horizontal="center" wrapText="1"/>
    </xf>
    <xf numFmtId="41" fontId="13" fillId="0" borderId="1" xfId="0" applyNumberFormat="1" applyFont="1" applyBorder="1" applyAlignment="1">
      <alignment horizontal="center"/>
    </xf>
    <xf numFmtId="41" fontId="13" fillId="11" borderId="1" xfId="0" applyNumberFormat="1" applyFont="1" applyFill="1" applyBorder="1" applyAlignment="1">
      <alignment horizontal="left" indent="2"/>
    </xf>
    <xf numFmtId="41" fontId="14" fillId="11" borderId="1" xfId="0" applyNumberFormat="1" applyFont="1" applyFill="1" applyBorder="1" applyAlignment="1">
      <alignment horizontal="center"/>
    </xf>
    <xf numFmtId="44" fontId="14" fillId="11" borderId="1" xfId="2" applyFont="1" applyFill="1" applyBorder="1"/>
    <xf numFmtId="41" fontId="13" fillId="11" borderId="1" xfId="0" applyNumberFormat="1" applyFont="1" applyFill="1" applyBorder="1" applyAlignment="1">
      <alignment horizontal="center"/>
    </xf>
    <xf numFmtId="44" fontId="0" fillId="0" borderId="7" xfId="2" applyFont="1" applyBorder="1"/>
    <xf numFmtId="44" fontId="0" fillId="0" borderId="3" xfId="2" applyFont="1" applyBorder="1"/>
    <xf numFmtId="44" fontId="0" fillId="0" borderId="8" xfId="2" applyFont="1" applyBorder="1"/>
    <xf numFmtId="41" fontId="14" fillId="0" borderId="7" xfId="0" applyNumberFormat="1" applyFont="1" applyBorder="1"/>
    <xf numFmtId="41" fontId="14" fillId="0" borderId="3" xfId="0" applyNumberFormat="1" applyFont="1" applyBorder="1"/>
    <xf numFmtId="41" fontId="14" fillId="0" borderId="8" xfId="0" applyNumberFormat="1" applyFont="1" applyBorder="1"/>
    <xf numFmtId="0" fontId="32" fillId="14" borderId="0" xfId="7" applyFill="1"/>
    <xf numFmtId="0" fontId="33" fillId="14" borderId="0" xfId="7" applyFont="1" applyFill="1"/>
    <xf numFmtId="0" fontId="34" fillId="14" borderId="0" xfId="7" applyFont="1" applyFill="1"/>
    <xf numFmtId="0" fontId="35" fillId="14" borderId="0" xfId="8" applyFont="1" applyFill="1"/>
    <xf numFmtId="0" fontId="36" fillId="14" borderId="0" xfId="7" applyFont="1" applyFill="1"/>
    <xf numFmtId="0" fontId="33" fillId="14" borderId="0" xfId="7" applyFont="1" applyFill="1" applyAlignment="1">
      <alignment horizontal="center"/>
    </xf>
    <xf numFmtId="3" fontId="41" fillId="14" borderId="0" xfId="7" applyNumberFormat="1" applyFont="1" applyFill="1" applyAlignment="1">
      <alignment horizontal="center"/>
    </xf>
    <xf numFmtId="3" fontId="41" fillId="14" borderId="0" xfId="7" applyNumberFormat="1" applyFont="1" applyFill="1"/>
    <xf numFmtId="3" fontId="33" fillId="14" borderId="0" xfId="7" applyNumberFormat="1" applyFont="1" applyFill="1" applyAlignment="1">
      <alignment horizontal="center"/>
    </xf>
    <xf numFmtId="0" fontId="43" fillId="14" borderId="0" xfId="7" applyFont="1" applyFill="1"/>
    <xf numFmtId="0" fontId="44" fillId="14" borderId="0" xfId="7" applyFont="1" applyFill="1"/>
    <xf numFmtId="0" fontId="13" fillId="14" borderId="0" xfId="7" applyFont="1" applyFill="1"/>
    <xf numFmtId="0" fontId="14" fillId="14" borderId="0" xfId="7" applyFont="1" applyFill="1"/>
    <xf numFmtId="20" fontId="45" fillId="14" borderId="0" xfId="7" applyNumberFormat="1" applyFont="1" applyFill="1" applyAlignment="1">
      <alignment horizontal="center"/>
    </xf>
    <xf numFmtId="0" fontId="5" fillId="14" borderId="0" xfId="5" applyFill="1"/>
    <xf numFmtId="3" fontId="45" fillId="14" borderId="0" xfId="7" applyNumberFormat="1" applyFont="1" applyFill="1"/>
    <xf numFmtId="41" fontId="13" fillId="11" borderId="1" xfId="0" applyNumberFormat="1" applyFont="1" applyFill="1" applyBorder="1" applyAlignment="1">
      <alignment horizontal="left" indent="1"/>
    </xf>
    <xf numFmtId="44" fontId="16" fillId="11" borderId="1" xfId="2" applyFont="1" applyFill="1" applyBorder="1"/>
    <xf numFmtId="10" fontId="46" fillId="0" borderId="11" xfId="3" applyNumberFormat="1" applyFont="1" applyBorder="1" applyAlignment="1">
      <alignment horizontal="center"/>
    </xf>
    <xf numFmtId="41" fontId="46" fillId="0" borderId="0" xfId="0" applyNumberFormat="1" applyFont="1" applyBorder="1" applyAlignment="1">
      <alignment horizontal="center"/>
    </xf>
    <xf numFmtId="10" fontId="46" fillId="0" borderId="0" xfId="3" applyNumberFormat="1" applyFont="1" applyBorder="1" applyAlignment="1">
      <alignment horizontal="center"/>
    </xf>
    <xf numFmtId="166" fontId="14" fillId="0" borderId="9" xfId="2" applyNumberFormat="1" applyFont="1" applyFill="1" applyBorder="1"/>
    <xf numFmtId="10" fontId="14" fillId="0" borderId="9" xfId="3" applyNumberFormat="1" applyFont="1" applyFill="1" applyBorder="1"/>
    <xf numFmtId="166" fontId="14" fillId="8" borderId="9" xfId="2" applyNumberFormat="1" applyFont="1" applyFill="1" applyBorder="1"/>
    <xf numFmtId="166" fontId="12" fillId="0" borderId="1" xfId="2" applyNumberFormat="1" applyFont="1" applyFill="1" applyBorder="1" applyAlignment="1">
      <alignment horizontal="center" wrapText="1"/>
    </xf>
    <xf numFmtId="10" fontId="12" fillId="0" borderId="1" xfId="3" applyNumberFormat="1" applyFont="1" applyFill="1" applyBorder="1" applyAlignment="1">
      <alignment horizontal="center" wrapText="1"/>
    </xf>
    <xf numFmtId="0" fontId="32" fillId="0" borderId="0" xfId="7" applyFill="1"/>
    <xf numFmtId="0" fontId="33" fillId="0" borderId="0" xfId="7" applyFont="1" applyFill="1"/>
    <xf numFmtId="0" fontId="5" fillId="0" borderId="0" xfId="5" applyFill="1"/>
    <xf numFmtId="0" fontId="47" fillId="0" borderId="0" xfId="0" applyFont="1" applyAlignment="1">
      <alignment horizontal="center"/>
    </xf>
    <xf numFmtId="0" fontId="47" fillId="0" borderId="15" xfId="0" applyFont="1" applyBorder="1"/>
    <xf numFmtId="0" fontId="47" fillId="0" borderId="16" xfId="0" applyFont="1" applyBorder="1"/>
    <xf numFmtId="0" fontId="47" fillId="0" borderId="8" xfId="0" applyFont="1" applyBorder="1"/>
    <xf numFmtId="0" fontId="47" fillId="0" borderId="0" xfId="0" applyFont="1"/>
    <xf numFmtId="0" fontId="48" fillId="0" borderId="0" xfId="0" applyFont="1" applyAlignment="1">
      <alignment horizontal="center"/>
    </xf>
    <xf numFmtId="0" fontId="48" fillId="0" borderId="13" xfId="0" applyFont="1" applyBorder="1" applyAlignment="1">
      <alignment horizontal="left"/>
    </xf>
    <xf numFmtId="0" fontId="48" fillId="0" borderId="14" xfId="0" applyFont="1" applyBorder="1"/>
    <xf numFmtId="0" fontId="48" fillId="0" borderId="13" xfId="0" applyFont="1" applyBorder="1"/>
    <xf numFmtId="0" fontId="48" fillId="0" borderId="3" xfId="0" applyFont="1" applyBorder="1"/>
    <xf numFmtId="0" fontId="48" fillId="0" borderId="0" xfId="0" applyFont="1"/>
    <xf numFmtId="0" fontId="48" fillId="0" borderId="1" xfId="0" applyFont="1" applyBorder="1" applyAlignment="1">
      <alignment horizontal="center" wrapText="1"/>
    </xf>
    <xf numFmtId="0" fontId="48" fillId="0" borderId="1" xfId="0" applyFont="1" applyBorder="1" applyAlignment="1">
      <alignment horizontal="center"/>
    </xf>
    <xf numFmtId="0" fontId="48" fillId="5" borderId="0" xfId="0" applyFont="1" applyFill="1" applyAlignment="1">
      <alignment horizontal="center"/>
    </xf>
    <xf numFmtId="41" fontId="49" fillId="0" borderId="1" xfId="0" applyNumberFormat="1" applyFont="1" applyBorder="1" applyAlignment="1">
      <alignment horizontal="center" wrapText="1"/>
    </xf>
    <xf numFmtId="0" fontId="48" fillId="5" borderId="1" xfId="0" applyFont="1" applyFill="1" applyBorder="1" applyAlignment="1">
      <alignment horizontal="center"/>
    </xf>
    <xf numFmtId="0" fontId="48" fillId="5" borderId="1" xfId="0" applyFont="1" applyFill="1" applyBorder="1"/>
    <xf numFmtId="0" fontId="48" fillId="5" borderId="4" xfId="0" applyFont="1" applyFill="1" applyBorder="1" applyAlignment="1">
      <alignment horizontal="center"/>
    </xf>
    <xf numFmtId="0" fontId="48" fillId="5" borderId="0" xfId="0" applyFont="1" applyFill="1" applyBorder="1" applyAlignment="1">
      <alignment horizontal="center"/>
    </xf>
    <xf numFmtId="166" fontId="48" fillId="0" borderId="1" xfId="2" applyNumberFormat="1" applyFont="1" applyBorder="1" applyAlignment="1">
      <alignment horizontal="center"/>
    </xf>
    <xf numFmtId="166" fontId="48" fillId="0" borderId="1" xfId="2" applyNumberFormat="1" applyFont="1" applyFill="1" applyBorder="1" applyAlignment="1">
      <alignment horizontal="center"/>
    </xf>
    <xf numFmtId="44" fontId="48" fillId="0" borderId="1" xfId="2" applyFont="1" applyBorder="1" applyAlignment="1">
      <alignment horizontal="center"/>
    </xf>
    <xf numFmtId="166" fontId="50" fillId="0" borderId="1" xfId="2" applyNumberFormat="1" applyFont="1" applyBorder="1" applyAlignment="1">
      <alignment horizontal="center"/>
    </xf>
    <xf numFmtId="44" fontId="48" fillId="5" borderId="1" xfId="2" applyFont="1" applyFill="1" applyBorder="1" applyAlignment="1">
      <alignment horizontal="center"/>
    </xf>
    <xf numFmtId="166" fontId="48" fillId="5" borderId="1" xfId="2" applyNumberFormat="1" applyFont="1" applyFill="1" applyBorder="1" applyAlignment="1">
      <alignment horizontal="center"/>
    </xf>
    <xf numFmtId="166" fontId="48" fillId="0" borderId="1" xfId="2" applyNumberFormat="1" applyFont="1" applyBorder="1"/>
    <xf numFmtId="166" fontId="48" fillId="0" borderId="1" xfId="0" applyNumberFormat="1" applyFont="1" applyBorder="1"/>
    <xf numFmtId="169" fontId="48" fillId="0" borderId="1" xfId="3" applyNumberFormat="1" applyFont="1" applyBorder="1" applyAlignment="1">
      <alignment horizontal="center"/>
    </xf>
    <xf numFmtId="0" fontId="48" fillId="0" borderId="12" xfId="0" applyFont="1" applyBorder="1" applyAlignment="1">
      <alignment horizontal="center"/>
    </xf>
    <xf numFmtId="166" fontId="48" fillId="0" borderId="12" xfId="2" applyNumberFormat="1" applyFont="1" applyBorder="1" applyAlignment="1">
      <alignment horizontal="center"/>
    </xf>
    <xf numFmtId="166" fontId="48" fillId="0" borderId="12" xfId="2" applyNumberFormat="1" applyFont="1" applyFill="1" applyBorder="1" applyAlignment="1">
      <alignment horizontal="center"/>
    </xf>
    <xf numFmtId="166" fontId="50" fillId="0" borderId="12" xfId="2" applyNumberFormat="1" applyFont="1" applyBorder="1" applyAlignment="1">
      <alignment horizontal="center"/>
    </xf>
    <xf numFmtId="169" fontId="48" fillId="0" borderId="12" xfId="3" applyNumberFormat="1" applyFont="1" applyBorder="1" applyAlignment="1">
      <alignment horizontal="center"/>
    </xf>
    <xf numFmtId="0" fontId="48" fillId="0" borderId="9" xfId="0" applyFont="1" applyBorder="1" applyAlignment="1">
      <alignment horizontal="center"/>
    </xf>
    <xf numFmtId="166" fontId="48" fillId="0" borderId="9" xfId="2" applyNumberFormat="1" applyFont="1" applyBorder="1" applyAlignment="1">
      <alignment horizontal="center"/>
    </xf>
    <xf numFmtId="44" fontId="48" fillId="5" borderId="9" xfId="2" applyFont="1" applyFill="1" applyBorder="1" applyAlignment="1">
      <alignment horizontal="center"/>
    </xf>
    <xf numFmtId="166" fontId="48" fillId="0" borderId="9" xfId="2" applyNumberFormat="1" applyFont="1" applyFill="1" applyBorder="1" applyAlignment="1">
      <alignment horizontal="center"/>
    </xf>
    <xf numFmtId="166" fontId="50" fillId="0" borderId="9" xfId="2" applyNumberFormat="1" applyFont="1" applyBorder="1" applyAlignment="1">
      <alignment horizontal="center"/>
    </xf>
    <xf numFmtId="169" fontId="48" fillId="0" borderId="9" xfId="3" applyNumberFormat="1" applyFont="1" applyBorder="1" applyAlignment="1">
      <alignment horizontal="center"/>
    </xf>
    <xf numFmtId="166" fontId="4" fillId="0" borderId="0" xfId="2" applyNumberFormat="1" applyFont="1" applyFill="1" applyAlignment="1">
      <alignment horizontal="left"/>
    </xf>
    <xf numFmtId="41" fontId="12" fillId="0" borderId="1" xfId="2" applyNumberFormat="1" applyFont="1" applyBorder="1"/>
    <xf numFmtId="10" fontId="22" fillId="11" borderId="1" xfId="3" applyNumberFormat="1" applyFont="1" applyFill="1" applyBorder="1" applyAlignment="1">
      <alignment horizontal="center"/>
    </xf>
    <xf numFmtId="41" fontId="13" fillId="13" borderId="1" xfId="0" applyNumberFormat="1" applyFont="1" applyFill="1" applyBorder="1"/>
    <xf numFmtId="166" fontId="25" fillId="13" borderId="1" xfId="2" applyNumberFormat="1" applyFont="1" applyFill="1" applyBorder="1"/>
    <xf numFmtId="41" fontId="13" fillId="15" borderId="1" xfId="0" applyNumberFormat="1" applyFont="1" applyFill="1" applyBorder="1"/>
    <xf numFmtId="166" fontId="25" fillId="15" borderId="1" xfId="2" applyNumberFormat="1" applyFont="1" applyFill="1" applyBorder="1"/>
    <xf numFmtId="10" fontId="14" fillId="15" borderId="0" xfId="3" applyNumberFormat="1" applyFont="1" applyFill="1"/>
    <xf numFmtId="41" fontId="14" fillId="16" borderId="1" xfId="0" applyNumberFormat="1" applyFont="1" applyFill="1" applyBorder="1"/>
    <xf numFmtId="41" fontId="13" fillId="16" borderId="1" xfId="0" applyNumberFormat="1" applyFont="1" applyFill="1" applyBorder="1"/>
    <xf numFmtId="166" fontId="14" fillId="16" borderId="1" xfId="2" applyNumberFormat="1" applyFont="1" applyFill="1" applyBorder="1"/>
    <xf numFmtId="10" fontId="14" fillId="16" borderId="0" xfId="3" applyNumberFormat="1" applyFont="1" applyFill="1"/>
    <xf numFmtId="0" fontId="0" fillId="7" borderId="1" xfId="0" applyFill="1" applyBorder="1"/>
    <xf numFmtId="166" fontId="0" fillId="7" borderId="1" xfId="0" applyNumberFormat="1" applyFill="1" applyBorder="1"/>
    <xf numFmtId="10" fontId="0" fillId="7" borderId="0" xfId="3" applyNumberFormat="1" applyFont="1" applyFill="1"/>
    <xf numFmtId="2" fontId="14" fillId="0" borderId="1" xfId="0" applyNumberFormat="1" applyFont="1" applyFill="1" applyBorder="1" applyAlignment="1">
      <alignment horizontal="left"/>
    </xf>
    <xf numFmtId="2" fontId="14" fillId="10" borderId="1" xfId="0" applyNumberFormat="1" applyFont="1" applyFill="1" applyBorder="1" applyAlignment="1">
      <alignment horizontal="left"/>
    </xf>
    <xf numFmtId="41" fontId="14" fillId="0" borderId="1" xfId="0" applyNumberFormat="1" applyFont="1" applyFill="1" applyBorder="1" applyAlignment="1">
      <alignment horizontal="left"/>
    </xf>
    <xf numFmtId="2" fontId="14" fillId="0" borderId="1" xfId="0" applyNumberFormat="1" applyFont="1" applyFill="1" applyBorder="1" applyAlignment="1">
      <alignment horizontal="right"/>
    </xf>
    <xf numFmtId="41" fontId="14" fillId="0" borderId="1" xfId="0" applyNumberFormat="1" applyFont="1" applyFill="1" applyBorder="1" applyAlignment="1">
      <alignment horizontal="right"/>
    </xf>
    <xf numFmtId="0" fontId="3" fillId="7" borderId="1" xfId="4" applyFont="1" applyFill="1" applyBorder="1" applyAlignment="1">
      <alignment horizontal="center" wrapText="1"/>
    </xf>
    <xf numFmtId="0" fontId="3" fillId="7" borderId="1" xfId="4" applyFont="1" applyFill="1" applyBorder="1" applyAlignment="1">
      <alignment horizontal="left"/>
    </xf>
    <xf numFmtId="0" fontId="3" fillId="7" borderId="1" xfId="0" applyFont="1" applyFill="1" applyBorder="1"/>
    <xf numFmtId="0" fontId="29" fillId="7" borderId="1" xfId="0" applyFont="1" applyFill="1" applyBorder="1" applyAlignment="1">
      <alignment horizontal="left"/>
    </xf>
    <xf numFmtId="166" fontId="27" fillId="7" borderId="1" xfId="2" applyNumberFormat="1" applyFont="1" applyFill="1" applyBorder="1"/>
    <xf numFmtId="166" fontId="0" fillId="7" borderId="1" xfId="2" applyNumberFormat="1" applyFont="1" applyFill="1" applyBorder="1"/>
    <xf numFmtId="0" fontId="3" fillId="7" borderId="1" xfId="0" applyFont="1" applyFill="1" applyBorder="1" applyAlignment="1">
      <alignment horizontal="left"/>
    </xf>
    <xf numFmtId="0" fontId="8" fillId="16" borderId="1" xfId="4" applyFont="1" applyFill="1" applyBorder="1" applyAlignment="1">
      <alignment horizontal="center" wrapText="1"/>
    </xf>
    <xf numFmtId="0" fontId="8" fillId="16" borderId="1" xfId="4" applyFont="1" applyFill="1" applyBorder="1" applyAlignment="1">
      <alignment horizontal="left"/>
    </xf>
    <xf numFmtId="0" fontId="8" fillId="16" borderId="1" xfId="0" applyFont="1" applyFill="1" applyBorder="1"/>
    <xf numFmtId="166" fontId="0" fillId="16" borderId="1" xfId="2" applyNumberFormat="1" applyFont="1" applyFill="1" applyBorder="1"/>
    <xf numFmtId="0" fontId="51" fillId="17" borderId="17" xfId="9" applyAlignment="1">
      <alignment horizontal="center"/>
    </xf>
    <xf numFmtId="166" fontId="0" fillId="0" borderId="0" xfId="0" applyNumberFormat="1"/>
    <xf numFmtId="41" fontId="13" fillId="0" borderId="1" xfId="0" applyNumberFormat="1" applyFont="1" applyFill="1" applyBorder="1" applyAlignment="1">
      <alignment horizontal="left" indent="2"/>
    </xf>
    <xf numFmtId="41" fontId="13" fillId="0" borderId="1" xfId="0" applyNumberFormat="1" applyFont="1" applyFill="1" applyBorder="1" applyAlignment="1">
      <alignment horizontal="center"/>
    </xf>
    <xf numFmtId="2" fontId="14" fillId="18" borderId="1" xfId="0" applyNumberFormat="1" applyFont="1" applyFill="1" applyBorder="1" applyAlignment="1">
      <alignment horizontal="left"/>
    </xf>
    <xf numFmtId="41" fontId="14" fillId="18" borderId="1" xfId="0" applyNumberFormat="1" applyFont="1" applyFill="1" applyBorder="1" applyAlignment="1">
      <alignment horizontal="center"/>
    </xf>
    <xf numFmtId="44" fontId="14" fillId="18" borderId="1" xfId="2" applyFont="1" applyFill="1" applyBorder="1"/>
    <xf numFmtId="41" fontId="14" fillId="3" borderId="1" xfId="0" applyNumberFormat="1" applyFont="1" applyFill="1" applyBorder="1" applyAlignment="1">
      <alignment horizontal="left"/>
    </xf>
    <xf numFmtId="41" fontId="14" fillId="3" borderId="1" xfId="0" applyNumberFormat="1" applyFont="1" applyFill="1" applyBorder="1" applyAlignment="1">
      <alignment horizontal="center"/>
    </xf>
    <xf numFmtId="43" fontId="14" fillId="3" borderId="1" xfId="1" applyFont="1" applyFill="1" applyBorder="1"/>
    <xf numFmtId="44" fontId="14" fillId="3" borderId="1" xfId="2" applyFont="1" applyFill="1" applyBorder="1"/>
    <xf numFmtId="20" fontId="45" fillId="14" borderId="0" xfId="7" applyNumberFormat="1" applyFont="1" applyFill="1" applyAlignment="1">
      <alignment horizontal="center"/>
    </xf>
    <xf numFmtId="0" fontId="35" fillId="14" borderId="0" xfId="8" applyFont="1" applyFill="1" applyAlignment="1">
      <alignment horizontal="center"/>
    </xf>
    <xf numFmtId="0" fontId="37" fillId="14" borderId="0" xfId="7" applyFont="1" applyFill="1" applyAlignment="1">
      <alignment horizontal="center"/>
    </xf>
    <xf numFmtId="0" fontId="38" fillId="14" borderId="0" xfId="7" applyFont="1" applyFill="1" applyAlignment="1">
      <alignment horizontal="center"/>
    </xf>
    <xf numFmtId="0" fontId="39" fillId="14" borderId="0" xfId="7" applyFont="1" applyFill="1" applyAlignment="1">
      <alignment horizontal="center"/>
    </xf>
    <xf numFmtId="0" fontId="40" fillId="14" borderId="0" xfId="7" applyFont="1" applyFill="1" applyAlignment="1">
      <alignment horizontal="center"/>
    </xf>
    <xf numFmtId="0" fontId="42" fillId="14" borderId="0" xfId="7" applyFont="1" applyFill="1" applyAlignment="1">
      <alignment horizontal="center"/>
    </xf>
    <xf numFmtId="41" fontId="11" fillId="0" borderId="0" xfId="0" applyNumberFormat="1" applyFont="1" applyAlignment="1">
      <alignment horizontal="center"/>
    </xf>
    <xf numFmtId="41" fontId="12" fillId="0" borderId="0" xfId="0" applyNumberFormat="1" applyFont="1" applyAlignment="1">
      <alignment horizontal="center"/>
    </xf>
    <xf numFmtId="41" fontId="46" fillId="0" borderId="5" xfId="0" applyNumberFormat="1" applyFont="1" applyBorder="1" applyAlignment="1">
      <alignment horizontal="center"/>
    </xf>
    <xf numFmtId="41" fontId="46" fillId="0" borderId="10" xfId="0" applyNumberFormat="1" applyFont="1" applyBorder="1" applyAlignment="1">
      <alignment horizontal="center"/>
    </xf>
    <xf numFmtId="41" fontId="14" fillId="0" borderId="12" xfId="0" applyNumberFormat="1" applyFont="1" applyBorder="1" applyAlignment="1">
      <alignment horizontal="left" indent="1"/>
    </xf>
    <xf numFmtId="41" fontId="14" fillId="0" borderId="12" xfId="0" applyNumberFormat="1" applyFont="1" applyBorder="1"/>
    <xf numFmtId="44" fontId="14" fillId="0" borderId="12" xfId="2" applyFont="1" applyFill="1" applyBorder="1"/>
    <xf numFmtId="41" fontId="14" fillId="0" borderId="0" xfId="0" applyNumberFormat="1" applyFont="1" applyFill="1" applyBorder="1" applyAlignment="1">
      <alignment horizontal="left" indent="1"/>
    </xf>
    <xf numFmtId="41" fontId="14" fillId="0" borderId="0" xfId="0" applyNumberFormat="1" applyFont="1" applyFill="1" applyBorder="1"/>
    <xf numFmtId="2" fontId="14" fillId="6" borderId="1" xfId="0" applyNumberFormat="1" applyFont="1" applyFill="1" applyBorder="1" applyAlignment="1">
      <alignment horizontal="left"/>
    </xf>
    <xf numFmtId="41" fontId="14" fillId="6" borderId="1" xfId="0" applyNumberFormat="1" applyFont="1" applyFill="1" applyBorder="1" applyAlignment="1">
      <alignment horizontal="center"/>
    </xf>
    <xf numFmtId="44" fontId="14" fillId="6" borderId="1" xfId="2" applyFont="1" applyFill="1" applyBorder="1"/>
  </cellXfs>
  <cellStyles count="10">
    <cellStyle name="Check Cell" xfId="9" builtinId="23"/>
    <cellStyle name="Comma" xfId="1" builtinId="3"/>
    <cellStyle name="Currency" xfId="2" builtinId="4"/>
    <cellStyle name="Normal" xfId="0" builtinId="0"/>
    <cellStyle name="Normal 2" xfId="5" xr:uid="{C7E719E4-DC0B-4C4E-8C0E-92A3EDAA692D}"/>
    <cellStyle name="Normal 5" xfId="6" xr:uid="{620230F1-19E7-49CD-A91D-75955A18C2A5}"/>
    <cellStyle name="Normal_boat-tax-report-9-30-2011-tax-report" xfId="7" xr:uid="{36070B51-30CA-4E9A-B424-67DE54172C86}"/>
    <cellStyle name="Normal_Copy of FY0607SUMMARY-rj-2-14-06" xfId="8" xr:uid="{48D06746-454F-4270-991B-85AF58A542BD}"/>
    <cellStyle name="Normal_Sheet1" xfId="4" xr:uid="{6B05D5E5-42F8-4E12-AEB7-5573C1544569}"/>
    <cellStyle name="Percent" xfId="3" builtin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3" formatCode="_(* #,##0_);_(* \(#,##0\);_(* &quot;-&quot;_);_(@_)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3" formatCode="_(* #,##0_);_(* \(#,##0\);_(* &quot;-&quot;_);_(@_)"/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1" u="sng"/>
              <a:t>City of Ansonia</a:t>
            </a:r>
          </a:p>
          <a:p>
            <a:pPr>
              <a:defRPr i="1" u="sng"/>
            </a:pPr>
            <a:r>
              <a:rPr lang="en-US" sz="1800" b="1" i="1" u="sng"/>
              <a:t>Total Budget Revenue</a:t>
            </a:r>
          </a:p>
          <a:p>
            <a:pPr>
              <a:defRPr i="1" u="sng"/>
            </a:pPr>
            <a:r>
              <a:rPr lang="en-US" sz="1800" b="1" i="1" u="sng"/>
              <a:t>Projected FY 21-22</a:t>
            </a:r>
          </a:p>
          <a:p>
            <a:pPr>
              <a:defRPr i="1" u="sng"/>
            </a:pPr>
            <a:endParaRPr lang="en-US" i="1" u="sng"/>
          </a:p>
        </c:rich>
      </c:tx>
      <c:layout>
        <c:manualLayout>
          <c:xMode val="edge"/>
          <c:yMode val="edge"/>
          <c:x val="3.5939669775320655E-2"/>
          <c:y val="5.0813016262245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612805510304832"/>
          <c:y val="9.221227483550859E-2"/>
          <c:w val="0.48499879388590944"/>
          <c:h val="0.70590569158307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94-4F50-9773-0AA05D8B93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194-4F50-9773-0AA05D8B93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194-4F50-9773-0AA05D8B93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94-4F50-9773-0AA05D8B93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194-4F50-9773-0AA05D8B935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194-4F50-9773-0AA05D8B935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194-4F50-9773-0AA05D8B93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94-4F50-9773-0AA05D8B93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194-4F50-9773-0AA05D8B935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94-4F50-9773-0AA05D8B9358}"/>
              </c:ext>
            </c:extLst>
          </c:dPt>
          <c:dLbls>
            <c:dLbl>
              <c:idx val="0"/>
              <c:layout>
                <c:manualLayout>
                  <c:x val="-0.15639477639725857"/>
                  <c:y val="6.369360376297910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94-4F50-9773-0AA05D8B9358}"/>
                </c:ext>
              </c:extLst>
            </c:dLbl>
            <c:dLbl>
              <c:idx val="1"/>
              <c:layout>
                <c:manualLayout>
                  <c:x val="0.14192938667255026"/>
                  <c:y val="9.147080260068865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94-4F50-9773-0AA05D8B9358}"/>
                </c:ext>
              </c:extLst>
            </c:dLbl>
            <c:dLbl>
              <c:idx val="2"/>
              <c:layout>
                <c:manualLayout>
                  <c:x val="0.11681772406847936"/>
                  <c:y val="-2.2522522522522563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A194-4F50-9773-0AA05D8B9358}"/>
                </c:ext>
              </c:extLst>
            </c:dLbl>
            <c:dLbl>
              <c:idx val="3"/>
              <c:layout>
                <c:manualLayout>
                  <c:x val="0.11278952668680756"/>
                  <c:y val="-6.08108108108108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94-4F50-9773-0AA05D8B9358}"/>
                </c:ext>
              </c:extLst>
            </c:dLbl>
            <c:dLbl>
              <c:idx val="4"/>
              <c:layout>
                <c:manualLayout>
                  <c:x val="0.11816045652903649"/>
                  <c:y val="1.35135135135135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94-4F50-9773-0AA05D8B9358}"/>
                </c:ext>
              </c:extLst>
            </c:dLbl>
            <c:dLbl>
              <c:idx val="5"/>
              <c:layout>
                <c:manualLayout>
                  <c:x val="-9.9362202081235321E-2"/>
                  <c:y val="-6.756756756756757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94-4F50-9773-0AA05D8B9358}"/>
                </c:ext>
              </c:extLst>
            </c:dLbl>
            <c:dLbl>
              <c:idx val="6"/>
              <c:layout>
                <c:manualLayout>
                  <c:x val="-5.2366565961732128E-2"/>
                  <c:y val="-0.105855855855855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94-4F50-9773-0AA05D8B9358}"/>
                </c:ext>
              </c:extLst>
            </c:dLbl>
            <c:dLbl>
              <c:idx val="7"/>
              <c:layout>
                <c:manualLayout>
                  <c:x val="4.4310171198388822E-2"/>
                  <c:y val="8.5585585585585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94-4F50-9773-0AA05D8B9358}"/>
                </c:ext>
              </c:extLst>
            </c:dLbl>
            <c:dLbl>
              <c:idx val="8"/>
              <c:layout>
                <c:manualLayout>
                  <c:x val="2.9540114132259147E-2"/>
                  <c:y val="0.17567567567567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94-4F50-9773-0AA05D8B9358}"/>
                </c:ext>
              </c:extLst>
            </c:dLbl>
            <c:dLbl>
              <c:idx val="9"/>
              <c:layout>
                <c:manualLayout>
                  <c:x val="-0.11816045652903662"/>
                  <c:y val="-5.85585585585585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94-4F50-9773-0AA05D8B935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'Budget Graphic Revenue'!$A$3:$A$12</c:f>
              <c:strCache>
                <c:ptCount val="10"/>
                <c:pt idx="0">
                  <c:v> Taxes </c:v>
                </c:pt>
                <c:pt idx="1">
                  <c:v> Permits and Fees </c:v>
                </c:pt>
                <c:pt idx="2">
                  <c:v> Educaitonal Cost Share </c:v>
                </c:pt>
                <c:pt idx="3">
                  <c:v> State Grants </c:v>
                </c:pt>
                <c:pt idx="4">
                  <c:v>Current Charges</c:v>
                </c:pt>
                <c:pt idx="5">
                  <c:v>Fees</c:v>
                </c:pt>
                <c:pt idx="6">
                  <c:v>Rental</c:v>
                </c:pt>
                <c:pt idx="7">
                  <c:v>Other</c:v>
                </c:pt>
                <c:pt idx="8">
                  <c:v>Interest and Reimbursements</c:v>
                </c:pt>
                <c:pt idx="9">
                  <c:v> Property Taxes  </c:v>
                </c:pt>
              </c:strCache>
            </c:strRef>
          </c:cat>
          <c:val>
            <c:numRef>
              <c:f>'Budget Graphic Revenue'!$B$3:$B$12</c:f>
              <c:numCache>
                <c:formatCode>_("$"* #,##0.00_);_("$"* \(#,##0.00\);_("$"* "-"??_);_(@_)</c:formatCode>
                <c:ptCount val="10"/>
                <c:pt idx="0">
                  <c:v>1346400</c:v>
                </c:pt>
                <c:pt idx="1">
                  <c:v>221500</c:v>
                </c:pt>
                <c:pt idx="2">
                  <c:v>15031668</c:v>
                </c:pt>
                <c:pt idx="3">
                  <c:v>1994286</c:v>
                </c:pt>
                <c:pt idx="4">
                  <c:v>1689000</c:v>
                </c:pt>
                <c:pt idx="5">
                  <c:v>195600</c:v>
                </c:pt>
                <c:pt idx="6">
                  <c:v>27200</c:v>
                </c:pt>
                <c:pt idx="7">
                  <c:v>424500</c:v>
                </c:pt>
                <c:pt idx="8">
                  <c:v>1260500</c:v>
                </c:pt>
                <c:pt idx="9">
                  <c:v>36990318.245999999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94-4F50-9773-0AA05D8B9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1" u="sng"/>
              <a:t>City of Ansonia</a:t>
            </a:r>
          </a:p>
          <a:p>
            <a:pPr>
              <a:defRPr/>
            </a:pPr>
            <a:r>
              <a:rPr lang="en-US" sz="1800" b="1" i="1" u="sng"/>
              <a:t>Total Government</a:t>
            </a:r>
            <a:r>
              <a:rPr lang="en-US" sz="1800" b="1" i="1" u="sng" baseline="0"/>
              <a:t> Spending</a:t>
            </a:r>
          </a:p>
          <a:p>
            <a:pPr>
              <a:defRPr/>
            </a:pPr>
            <a:r>
              <a:rPr lang="en-US" sz="1800" b="1" i="1" u="sng" baseline="0"/>
              <a:t>Projected FY 21-22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710-422C-97C8-BB860D4390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10-422C-97C8-BB860D4390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7-41D5-BF3C-81AE2DA2C5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7-41D5-BF3C-81AE2DA2C5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D87-41D5-BF3C-81AE2DA2C50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710-422C-97C8-BB860D4390F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10-422C-97C8-BB860D4390F9}"/>
              </c:ext>
            </c:extLst>
          </c:dPt>
          <c:dLbls>
            <c:dLbl>
              <c:idx val="0"/>
              <c:layout>
                <c:manualLayout>
                  <c:x val="2.6396042891974798E-2"/>
                  <c:y val="5.32501965173135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10-422C-97C8-BB860D4390F9}"/>
                </c:ext>
              </c:extLst>
            </c:dLbl>
            <c:dLbl>
              <c:idx val="1"/>
              <c:layout>
                <c:manualLayout>
                  <c:x val="1.2866252428768269E-2"/>
                  <c:y val="-7.48815788889333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10-422C-97C8-BB860D4390F9}"/>
                </c:ext>
              </c:extLst>
            </c:dLbl>
            <c:dLbl>
              <c:idx val="5"/>
              <c:layout>
                <c:manualLayout>
                  <c:x val="-8.0503960312397135E-2"/>
                  <c:y val="4.87540580270105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10-422C-97C8-BB860D4390F9}"/>
                </c:ext>
              </c:extLst>
            </c:dLbl>
            <c:dLbl>
              <c:idx val="6"/>
              <c:layout>
                <c:manualLayout>
                  <c:x val="-2.8418001578881441E-2"/>
                  <c:y val="-0.128194483303800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10-422C-97C8-BB860D4390F9}"/>
                </c:ext>
              </c:extLst>
            </c:dLbl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Graphic Expenses'!$A$3:$A$9</c:f>
              <c:strCache>
                <c:ptCount val="7"/>
                <c:pt idx="0">
                  <c:v> City Government Expenses </c:v>
                </c:pt>
                <c:pt idx="1">
                  <c:v> City Employee Benfits </c:v>
                </c:pt>
                <c:pt idx="2">
                  <c:v> City Insurances </c:v>
                </c:pt>
                <c:pt idx="3">
                  <c:v> Capital Fund </c:v>
                </c:pt>
                <c:pt idx="4">
                  <c:v> B.O.A.T and Contingency Fund  </c:v>
                </c:pt>
                <c:pt idx="5">
                  <c:v> Debt Service Costs </c:v>
                </c:pt>
                <c:pt idx="6">
                  <c:v> Board of Education </c:v>
                </c:pt>
              </c:strCache>
            </c:strRef>
          </c:cat>
          <c:val>
            <c:numRef>
              <c:f>'Budget Graphic Expenses'!$B$3:$B$9</c:f>
              <c:numCache>
                <c:formatCode>_("$"* #,##0.00_);_("$"* \(#,##0.00\);_("$"* "-"??_);_(@_)</c:formatCode>
                <c:ptCount val="7"/>
                <c:pt idx="0">
                  <c:v>15540357.949999999</c:v>
                </c:pt>
                <c:pt idx="1">
                  <c:v>5934016.75086</c:v>
                </c:pt>
                <c:pt idx="2">
                  <c:v>1050029</c:v>
                </c:pt>
                <c:pt idx="3">
                  <c:v>662356</c:v>
                </c:pt>
                <c:pt idx="4">
                  <c:v>389000</c:v>
                </c:pt>
                <c:pt idx="5">
                  <c:v>2058083</c:v>
                </c:pt>
                <c:pt idx="6">
                  <c:v>33547129.18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0-422C-97C8-BB860D4390F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2</xdr:row>
      <xdr:rowOff>106680</xdr:rowOff>
    </xdr:from>
    <xdr:to>
      <xdr:col>12</xdr:col>
      <xdr:colOff>533400</xdr:colOff>
      <xdr:row>23</xdr:row>
      <xdr:rowOff>76200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F70FBED-8064-4A3B-9244-161A2F121527}"/>
            </a:ext>
          </a:extLst>
        </xdr:cNvPr>
        <xdr:cNvSpPr>
          <a:spLocks noChangeArrowheads="1"/>
        </xdr:cNvSpPr>
      </xdr:nvSpPr>
      <xdr:spPr bwMode="auto">
        <a:xfrm>
          <a:off x="445770" y="430530"/>
          <a:ext cx="8117205" cy="511302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10</xdr:col>
      <xdr:colOff>5717</xdr:colOff>
      <xdr:row>13</xdr:row>
      <xdr:rowOff>221317</xdr:rowOff>
    </xdr:from>
    <xdr:to>
      <xdr:col>12</xdr:col>
      <xdr:colOff>267113</xdr:colOff>
      <xdr:row>22</xdr:row>
      <xdr:rowOff>34327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F17B38F-AC69-42A7-9973-E68AB8121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1717" y="3478867"/>
          <a:ext cx="1480596" cy="2108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491218</xdr:colOff>
      <xdr:row>4</xdr:row>
      <xdr:rowOff>125185</xdr:rowOff>
    </xdr:from>
    <xdr:to>
      <xdr:col>4</xdr:col>
      <xdr:colOff>427263</xdr:colOff>
      <xdr:row>6</xdr:row>
      <xdr:rowOff>240845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E216C0BA-94C5-4A86-A26E-774ACAC42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18" y="887185"/>
          <a:ext cx="2374445" cy="630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438149</xdr:colOff>
      <xdr:row>2</xdr:row>
      <xdr:rowOff>104776</xdr:rowOff>
    </xdr:from>
    <xdr:to>
      <xdr:col>21</xdr:col>
      <xdr:colOff>47624</xdr:colOff>
      <xdr:row>37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2C9BB7-CCA8-4CD4-84F1-98F2CE94A1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2</xdr:row>
      <xdr:rowOff>133350</xdr:rowOff>
    </xdr:from>
    <xdr:to>
      <xdr:col>19</xdr:col>
      <xdr:colOff>219075</xdr:colOff>
      <xdr:row>36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F7653D8-7776-4C14-B9A9-1EBAC14C58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miller/AppData/Roaming/Microsoft/Excel/FY2021BOA_FINAL_6_15_20_2100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COVER FY 20-21"/>
      <sheetName val="MILL RATE CALC FY 20-21"/>
      <sheetName val="REVENUE BUDGET COVER"/>
      <sheetName val="REVENUE 20-21"/>
      <sheetName val="FOR EXPORT"/>
      <sheetName val="Sheet2"/>
      <sheetName val="Sheet3"/>
      <sheetName val="Sheet4"/>
      <sheetName val="Sheet1"/>
      <sheetName val="EXPENSE BUDGET COVER "/>
      <sheetName val="EXPENSE 20-21"/>
      <sheetName val="CONSOLIDATED WAGE LINES"/>
      <sheetName val="FUND BALANCE"/>
      <sheetName val="SOCIAL SECURITY CAL"/>
      <sheetName val="SETTLEMENT CONT."/>
      <sheetName val="CHANGES"/>
      <sheetName val="PENSIONS ALL W-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91">
          <cell r="A291">
            <v>403</v>
          </cell>
        </row>
        <row r="292">
          <cell r="A292">
            <v>403</v>
          </cell>
        </row>
        <row r="293">
          <cell r="A293">
            <v>403</v>
          </cell>
        </row>
        <row r="294">
          <cell r="A294">
            <v>403</v>
          </cell>
        </row>
        <row r="295">
          <cell r="A295">
            <v>403</v>
          </cell>
        </row>
        <row r="296">
          <cell r="A296">
            <v>403</v>
          </cell>
        </row>
        <row r="297">
          <cell r="A297">
            <v>403</v>
          </cell>
        </row>
        <row r="298">
          <cell r="A298">
            <v>403</v>
          </cell>
        </row>
        <row r="300">
          <cell r="A300" t="str">
            <v>405</v>
          </cell>
          <cell r="B300" t="str">
            <v>Economic Development</v>
          </cell>
        </row>
        <row r="356">
          <cell r="A356" t="str">
            <v>555 Total</v>
          </cell>
        </row>
        <row r="387">
          <cell r="M387">
            <v>32492359</v>
          </cell>
        </row>
        <row r="443">
          <cell r="M443">
            <v>0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1679A02-CB8F-4678-9E69-6928A54B1D75}" name="Table2" displayName="Table2" ref="A2:A9" totalsRowShown="0" headerRowDxfId="11" dataDxfId="9" headerRowBorderDxfId="10" tableBorderDxfId="8" totalsRowBorderDxfId="7">
  <autoFilter ref="A2:A9" xr:uid="{937BF6CD-DBD3-4FF8-B094-E1E31B4534A7}"/>
  <tableColumns count="1">
    <tableColumn id="1" xr3:uid="{3721E643-1D39-49F4-B2C1-8FAE965E64FA}" name="Column1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7C1AC68-E25D-448B-BF88-CD4B674ACE50}" name="Table3" displayName="Table3" ref="B2:B9" totalsRowShown="0" headerRowDxfId="5" dataDxfId="3" headerRowBorderDxfId="4" tableBorderDxfId="2" totalsRowBorderDxfId="1" headerRowCellStyle="Currency" dataCellStyle="Currency">
  <autoFilter ref="B2:B9" xr:uid="{F1071CF7-63A7-4D47-B585-962A7F05515C}"/>
  <tableColumns count="1">
    <tableColumn id="1" xr3:uid="{720C8124-28DE-47FD-A3A7-DDF9FC1DAB7B}" name="Column1" dataDxfId="0" dataCellStyle="Currency">
      <calculatedColumnFormula>'Budget Summary'!D23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CD60C-82E5-49F6-87E2-061F7BA49BD4}">
  <dimension ref="A1:N26"/>
  <sheetViews>
    <sheetView tabSelected="1" workbookViewId="0">
      <selection activeCell="A24" sqref="A24"/>
    </sheetView>
  </sheetViews>
  <sheetFormatPr defaultRowHeight="15" x14ac:dyDescent="0.25"/>
  <cols>
    <col min="14" max="14" width="9.140625" style="8"/>
  </cols>
  <sheetData>
    <row r="1" spans="1:14" x14ac:dyDescent="0.25">
      <c r="A1" s="299"/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325"/>
    </row>
    <row r="2" spans="1:14" x14ac:dyDescent="0.25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325"/>
    </row>
    <row r="3" spans="1:14" x14ac:dyDescent="0.25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325"/>
    </row>
    <row r="4" spans="1:14" x14ac:dyDescent="0.25">
      <c r="A4" s="299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325"/>
    </row>
    <row r="5" spans="1:14" x14ac:dyDescent="0.25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325"/>
    </row>
    <row r="6" spans="1:14" ht="25.5" x14ac:dyDescent="0.35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26"/>
    </row>
    <row r="7" spans="1:14" ht="25.5" x14ac:dyDescent="0.35">
      <c r="A7" s="300"/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26"/>
    </row>
    <row r="8" spans="1:14" ht="25.5" x14ac:dyDescent="0.35">
      <c r="A8" s="300"/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26"/>
    </row>
    <row r="9" spans="1:14" ht="25.5" x14ac:dyDescent="0.35">
      <c r="A9" s="301"/>
      <c r="B9" s="410" t="s">
        <v>1387</v>
      </c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301"/>
      <c r="N9" s="326"/>
    </row>
    <row r="10" spans="1:14" ht="19.5" x14ac:dyDescent="0.25">
      <c r="A10" s="302"/>
      <c r="B10" s="302"/>
      <c r="C10" s="302"/>
      <c r="D10" s="302"/>
      <c r="E10" s="302"/>
      <c r="F10" s="302"/>
      <c r="G10" s="302"/>
      <c r="H10" s="302"/>
      <c r="I10" s="302"/>
      <c r="J10" s="302"/>
      <c r="K10" s="303"/>
      <c r="L10" s="303"/>
      <c r="M10" s="303"/>
      <c r="N10" s="325"/>
    </row>
    <row r="11" spans="1:14" x14ac:dyDescent="0.25">
      <c r="A11" s="303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25"/>
    </row>
    <row r="12" spans="1:14" ht="29.25" x14ac:dyDescent="0.35">
      <c r="A12" s="411" t="s">
        <v>1388</v>
      </c>
      <c r="B12" s="411"/>
      <c r="C12" s="411"/>
      <c r="D12" s="411"/>
      <c r="E12" s="411"/>
      <c r="F12" s="411"/>
      <c r="G12" s="411"/>
      <c r="H12" s="411"/>
      <c r="I12" s="411"/>
      <c r="J12" s="411"/>
      <c r="K12" s="411"/>
      <c r="L12" s="411"/>
      <c r="M12" s="411"/>
      <c r="N12" s="325"/>
    </row>
    <row r="13" spans="1:14" ht="15.75" x14ac:dyDescent="0.25">
      <c r="A13" s="412"/>
      <c r="B13" s="412"/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325"/>
    </row>
    <row r="14" spans="1:14" ht="32.25" x14ac:dyDescent="0.4">
      <c r="A14" s="413" t="s">
        <v>1389</v>
      </c>
      <c r="B14" s="414"/>
      <c r="C14" s="414"/>
      <c r="D14" s="414"/>
      <c r="E14" s="414"/>
      <c r="F14" s="414"/>
      <c r="G14" s="414"/>
      <c r="H14" s="414"/>
      <c r="I14" s="414"/>
      <c r="J14" s="414"/>
      <c r="K14" s="414"/>
      <c r="L14" s="414"/>
      <c r="M14" s="414"/>
      <c r="N14" s="325"/>
    </row>
    <row r="15" spans="1:14" ht="25.5" x14ac:dyDescent="0.35">
      <c r="A15" s="304"/>
      <c r="B15" s="304"/>
      <c r="C15" s="304"/>
      <c r="D15" s="304"/>
      <c r="E15" s="305"/>
      <c r="F15" s="306"/>
      <c r="G15" s="306"/>
      <c r="H15" s="306"/>
      <c r="I15" s="304"/>
      <c r="J15" s="304"/>
      <c r="K15" s="304"/>
      <c r="L15" s="304"/>
      <c r="M15" s="304"/>
      <c r="N15" s="325"/>
    </row>
    <row r="16" spans="1:14" ht="25.5" x14ac:dyDescent="0.35">
      <c r="A16" s="307"/>
      <c r="B16" s="304"/>
      <c r="C16" s="304"/>
      <c r="D16" s="304" t="s">
        <v>31</v>
      </c>
      <c r="E16" s="307"/>
      <c r="F16" s="307"/>
      <c r="G16" s="307"/>
      <c r="H16" s="307"/>
      <c r="I16" s="307"/>
      <c r="J16" s="304"/>
      <c r="K16" s="304"/>
      <c r="L16" s="304"/>
      <c r="M16" s="304"/>
      <c r="N16" s="325"/>
    </row>
    <row r="17" spans="1:14" ht="20.25" x14ac:dyDescent="0.3">
      <c r="A17" s="415"/>
      <c r="B17" s="415"/>
      <c r="C17" s="415"/>
      <c r="D17" s="415"/>
      <c r="E17" s="415"/>
      <c r="F17" s="415"/>
      <c r="G17" s="415"/>
      <c r="H17" s="415"/>
      <c r="I17" s="415"/>
      <c r="J17" s="415"/>
      <c r="K17" s="415"/>
      <c r="L17" s="415"/>
      <c r="M17" s="415"/>
      <c r="N17" s="325"/>
    </row>
    <row r="18" spans="1:14" ht="15.75" x14ac:dyDescent="0.25">
      <c r="A18" s="299"/>
      <c r="B18" s="308"/>
      <c r="C18" s="299"/>
      <c r="D18" s="299"/>
      <c r="E18" s="309"/>
      <c r="F18" s="299"/>
      <c r="G18" s="299"/>
      <c r="H18" s="299"/>
      <c r="I18" s="299"/>
      <c r="J18" s="299"/>
      <c r="K18" s="299"/>
      <c r="L18" s="299"/>
      <c r="M18" s="299"/>
      <c r="N18" s="325"/>
    </row>
    <row r="19" spans="1:14" x14ac:dyDescent="0.25">
      <c r="A19" s="299"/>
      <c r="B19" s="310"/>
      <c r="C19" s="311"/>
      <c r="D19" s="311"/>
      <c r="E19" s="311"/>
      <c r="F19" s="299"/>
      <c r="G19" s="299"/>
      <c r="H19" s="299"/>
      <c r="I19" s="299"/>
      <c r="J19" s="299"/>
      <c r="K19" s="299"/>
      <c r="L19" s="299"/>
      <c r="M19" s="299"/>
      <c r="N19" s="325"/>
    </row>
    <row r="20" spans="1:14" ht="15.75" x14ac:dyDescent="0.25">
      <c r="A20" s="299"/>
      <c r="B20" s="310"/>
      <c r="C20" s="311"/>
      <c r="D20" s="311"/>
      <c r="E20" s="311"/>
      <c r="F20" s="299"/>
      <c r="G20" s="299"/>
      <c r="H20" s="314" t="s">
        <v>31</v>
      </c>
      <c r="I20" s="409" t="s">
        <v>31</v>
      </c>
      <c r="J20" s="409"/>
      <c r="K20" s="299"/>
      <c r="L20" s="299"/>
      <c r="M20" s="299"/>
      <c r="N20" s="325"/>
    </row>
    <row r="21" spans="1:14" ht="15.75" x14ac:dyDescent="0.25">
      <c r="A21" s="299"/>
      <c r="B21" s="299"/>
      <c r="C21" s="299"/>
      <c r="D21" s="299"/>
      <c r="E21" s="299"/>
      <c r="F21" s="299"/>
      <c r="G21" s="299"/>
      <c r="H21" s="312"/>
      <c r="I21" s="299"/>
      <c r="J21" s="299"/>
      <c r="K21" s="299"/>
      <c r="L21" s="299"/>
      <c r="M21" s="299"/>
      <c r="N21" s="325"/>
    </row>
    <row r="22" spans="1:14" x14ac:dyDescent="0.25">
      <c r="A22" s="299"/>
      <c r="B22" s="299"/>
      <c r="C22" s="299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325"/>
    </row>
    <row r="23" spans="1:14" x14ac:dyDescent="0.25">
      <c r="A23" s="299"/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325"/>
    </row>
    <row r="24" spans="1:14" x14ac:dyDescent="0.25">
      <c r="A24" s="299"/>
      <c r="B24" s="299"/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299"/>
      <c r="N24" s="325"/>
    </row>
    <row r="25" spans="1:14" x14ac:dyDescent="0.25">
      <c r="A25" s="299"/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325"/>
    </row>
    <row r="26" spans="1:14" x14ac:dyDescent="0.25">
      <c r="A26" s="313"/>
      <c r="B26" s="313"/>
      <c r="C26" s="313"/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27"/>
    </row>
  </sheetData>
  <mergeCells count="6">
    <mergeCell ref="I20:J20"/>
    <mergeCell ref="B9:L9"/>
    <mergeCell ref="A12:M12"/>
    <mergeCell ref="A13:M13"/>
    <mergeCell ref="A14:M14"/>
    <mergeCell ref="A17:M17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BAC7C-9F46-4CC2-ADDD-D22D8922DA02}">
  <sheetPr>
    <pageSetUpPr fitToPage="1"/>
  </sheetPr>
  <dimension ref="A1:J63"/>
  <sheetViews>
    <sheetView workbookViewId="0">
      <selection activeCell="A24" sqref="A24"/>
    </sheetView>
  </sheetViews>
  <sheetFormatPr defaultRowHeight="15" x14ac:dyDescent="0.25"/>
  <cols>
    <col min="1" max="1" width="45.42578125" style="33" customWidth="1"/>
    <col min="2" max="2" width="15.42578125" style="33" customWidth="1"/>
    <col min="3" max="3" width="11.7109375" style="40" customWidth="1"/>
    <col min="4" max="5" width="14" style="40" customWidth="1"/>
    <col min="6" max="6" width="15.7109375" style="40" customWidth="1"/>
    <col min="7" max="7" width="15.140625" style="40" customWidth="1"/>
    <col min="8" max="8" width="13.5703125" style="40" bestFit="1" customWidth="1"/>
    <col min="10" max="10" width="14.28515625" bestFit="1" customWidth="1"/>
  </cols>
  <sheetData>
    <row r="1" spans="1:10" ht="22.5" x14ac:dyDescent="0.55000000000000004">
      <c r="A1" s="416" t="s">
        <v>468</v>
      </c>
      <c r="B1" s="416"/>
      <c r="C1" s="416"/>
      <c r="D1" s="416"/>
      <c r="E1" s="416"/>
      <c r="F1" s="416"/>
      <c r="G1" s="416"/>
      <c r="H1" s="417"/>
    </row>
    <row r="2" spans="1:10" ht="28.5" x14ac:dyDescent="0.35">
      <c r="A2" s="48"/>
      <c r="B2" s="49" t="s">
        <v>1375</v>
      </c>
      <c r="C2" s="50" t="s">
        <v>473</v>
      </c>
      <c r="D2" s="51" t="s">
        <v>474</v>
      </c>
      <c r="E2" s="50" t="s">
        <v>475</v>
      </c>
      <c r="F2" s="50" t="s">
        <v>476</v>
      </c>
      <c r="G2" s="50" t="s">
        <v>477</v>
      </c>
      <c r="H2" s="50" t="s">
        <v>469</v>
      </c>
    </row>
    <row r="3" spans="1:10" ht="24.75" x14ac:dyDescent="0.25">
      <c r="A3" s="52" t="s">
        <v>470</v>
      </c>
      <c r="B3" s="287" t="s">
        <v>1377</v>
      </c>
      <c r="C3" s="54">
        <v>256189</v>
      </c>
      <c r="D3" s="54">
        <v>300000</v>
      </c>
      <c r="E3" s="54">
        <v>325000</v>
      </c>
      <c r="F3" s="54">
        <v>350000</v>
      </c>
      <c r="G3" s="54">
        <v>375000</v>
      </c>
      <c r="H3" s="54">
        <f>SUM(C3:G3)</f>
        <v>1606189</v>
      </c>
    </row>
    <row r="4" spans="1:10" x14ac:dyDescent="0.25">
      <c r="A4" s="52" t="s">
        <v>471</v>
      </c>
      <c r="B4" s="288" t="s">
        <v>1376</v>
      </c>
      <c r="C4" s="55">
        <v>90000</v>
      </c>
      <c r="D4" s="55">
        <v>105000</v>
      </c>
      <c r="E4" s="55">
        <v>120000</v>
      </c>
      <c r="F4" s="55">
        <v>130000</v>
      </c>
      <c r="G4" s="55">
        <v>140000</v>
      </c>
      <c r="H4" s="55">
        <f t="shared" ref="H4:H5" si="0">SUM(C4:G4)</f>
        <v>585000</v>
      </c>
    </row>
    <row r="5" spans="1:10" x14ac:dyDescent="0.25">
      <c r="A5" s="289" t="s">
        <v>19</v>
      </c>
      <c r="B5" s="290"/>
      <c r="C5" s="291">
        <f>SUM(C3:C4)</f>
        <v>346189</v>
      </c>
      <c r="D5" s="291">
        <f t="shared" ref="D5:G5" si="1">SUM(D3:D4)</f>
        <v>405000</v>
      </c>
      <c r="E5" s="291">
        <f t="shared" si="1"/>
        <v>445000</v>
      </c>
      <c r="F5" s="291">
        <f t="shared" si="1"/>
        <v>480000</v>
      </c>
      <c r="G5" s="291">
        <f t="shared" si="1"/>
        <v>515000</v>
      </c>
      <c r="H5" s="291">
        <f t="shared" si="0"/>
        <v>2191189</v>
      </c>
      <c r="J5" s="177"/>
    </row>
    <row r="6" spans="1:10" x14ac:dyDescent="0.25">
      <c r="A6" s="56"/>
      <c r="B6" s="282"/>
      <c r="C6" s="54"/>
      <c r="D6" s="54"/>
      <c r="E6" s="54"/>
      <c r="F6" s="54"/>
      <c r="G6" s="54"/>
      <c r="H6" s="54"/>
    </row>
    <row r="7" spans="1:10" x14ac:dyDescent="0.25">
      <c r="A7" s="58" t="s">
        <v>1382</v>
      </c>
      <c r="B7" s="283" t="s">
        <v>1380</v>
      </c>
      <c r="C7" s="59"/>
      <c r="D7" s="59"/>
      <c r="E7" s="59"/>
      <c r="F7" s="59"/>
      <c r="G7" s="59"/>
      <c r="H7" s="59" t="s">
        <v>31</v>
      </c>
    </row>
    <row r="8" spans="1:10" x14ac:dyDescent="0.25">
      <c r="A8" s="382" t="s">
        <v>1413</v>
      </c>
      <c r="B8" s="283" t="s">
        <v>1380</v>
      </c>
      <c r="C8" s="61">
        <v>50000</v>
      </c>
      <c r="D8" s="61">
        <v>50000</v>
      </c>
      <c r="E8" s="61">
        <v>50000</v>
      </c>
      <c r="F8" s="61">
        <v>50000</v>
      </c>
      <c r="G8" s="61">
        <v>50000</v>
      </c>
      <c r="H8" s="54">
        <f>SUM(C8:G8)</f>
        <v>250000</v>
      </c>
    </row>
    <row r="9" spans="1:10" x14ac:dyDescent="0.25">
      <c r="A9" s="382" t="s">
        <v>1378</v>
      </c>
      <c r="B9" s="283" t="s">
        <v>1380</v>
      </c>
      <c r="C9" s="54">
        <v>15367</v>
      </c>
      <c r="D9" s="54">
        <v>15367</v>
      </c>
      <c r="E9" s="54">
        <v>15367</v>
      </c>
      <c r="F9" s="285"/>
      <c r="G9" s="285"/>
      <c r="H9" s="54">
        <f t="shared" ref="H9:H19" si="2">SUM(C9:G9)</f>
        <v>46101</v>
      </c>
    </row>
    <row r="10" spans="1:10" x14ac:dyDescent="0.25">
      <c r="A10" s="382" t="s">
        <v>1383</v>
      </c>
      <c r="B10" s="283" t="s">
        <v>1380</v>
      </c>
      <c r="C10" s="61">
        <v>50000</v>
      </c>
      <c r="D10" s="61">
        <v>50000</v>
      </c>
      <c r="E10" s="61">
        <v>75000</v>
      </c>
      <c r="F10" s="61">
        <v>75000</v>
      </c>
      <c r="G10" s="61">
        <v>90000</v>
      </c>
      <c r="H10" s="61">
        <f t="shared" si="2"/>
        <v>340000</v>
      </c>
    </row>
    <row r="11" spans="1:10" x14ac:dyDescent="0.25">
      <c r="A11" s="382" t="s">
        <v>1384</v>
      </c>
      <c r="B11" s="283" t="s">
        <v>1380</v>
      </c>
      <c r="C11" s="61">
        <v>15000</v>
      </c>
      <c r="D11" s="61">
        <v>30000</v>
      </c>
      <c r="E11" s="61">
        <v>45000</v>
      </c>
      <c r="F11" s="61">
        <v>45000</v>
      </c>
      <c r="G11" s="61">
        <v>45000</v>
      </c>
      <c r="H11" s="61">
        <f t="shared" si="2"/>
        <v>180000</v>
      </c>
    </row>
    <row r="12" spans="1:10" x14ac:dyDescent="0.25">
      <c r="A12" s="382" t="s">
        <v>1379</v>
      </c>
      <c r="B12" s="283" t="s">
        <v>1380</v>
      </c>
      <c r="C12" s="61">
        <v>50000</v>
      </c>
      <c r="D12" s="61">
        <v>50000</v>
      </c>
      <c r="E12" s="61">
        <v>50000</v>
      </c>
      <c r="F12" s="61">
        <v>50000</v>
      </c>
      <c r="G12" s="61">
        <v>50000</v>
      </c>
      <c r="H12" s="61">
        <f t="shared" si="2"/>
        <v>250000</v>
      </c>
    </row>
    <row r="13" spans="1:10" x14ac:dyDescent="0.25">
      <c r="A13" s="289" t="s">
        <v>19</v>
      </c>
      <c r="B13" s="292"/>
      <c r="C13" s="291">
        <f>SUM(C8:C12)</f>
        <v>180367</v>
      </c>
      <c r="D13" s="291">
        <f t="shared" ref="D13:H13" si="3">SUM(D8:D12)</f>
        <v>195367</v>
      </c>
      <c r="E13" s="291">
        <f t="shared" si="3"/>
        <v>235367</v>
      </c>
      <c r="F13" s="291">
        <f t="shared" si="3"/>
        <v>220000</v>
      </c>
      <c r="G13" s="291">
        <f t="shared" si="3"/>
        <v>235000</v>
      </c>
      <c r="H13" s="291">
        <f>SUM(C13:G13)</f>
        <v>1066101</v>
      </c>
      <c r="J13" s="177"/>
    </row>
    <row r="14" spans="1:10" x14ac:dyDescent="0.25">
      <c r="A14" s="400"/>
      <c r="B14" s="401"/>
      <c r="C14" s="61"/>
      <c r="D14" s="61"/>
      <c r="E14" s="61"/>
      <c r="F14" s="61"/>
      <c r="G14" s="61"/>
      <c r="H14" s="61"/>
    </row>
    <row r="15" spans="1:10" x14ac:dyDescent="0.25">
      <c r="A15" s="402" t="s">
        <v>1431</v>
      </c>
      <c r="B15" s="403"/>
      <c r="C15" s="404">
        <v>100000</v>
      </c>
      <c r="D15" s="404">
        <v>150000</v>
      </c>
      <c r="E15" s="404">
        <v>225000</v>
      </c>
      <c r="F15" s="404">
        <v>300000</v>
      </c>
      <c r="G15" s="404">
        <v>300000</v>
      </c>
      <c r="H15" s="404">
        <f>SUM(C15:G15)</f>
        <v>1075000</v>
      </c>
    </row>
    <row r="16" spans="1:10" x14ac:dyDescent="0.25">
      <c r="A16" s="385" t="s">
        <v>1411</v>
      </c>
      <c r="B16" s="284"/>
      <c r="C16" s="61">
        <v>42500</v>
      </c>
      <c r="D16" s="54">
        <v>10000</v>
      </c>
      <c r="E16" s="54">
        <v>10000</v>
      </c>
      <c r="F16" s="54">
        <v>10000</v>
      </c>
      <c r="G16" s="54">
        <v>10000</v>
      </c>
      <c r="H16" s="61">
        <f t="shared" si="2"/>
        <v>82500</v>
      </c>
    </row>
    <row r="17" spans="1:10" x14ac:dyDescent="0.25">
      <c r="A17" s="386" t="s">
        <v>1409</v>
      </c>
      <c r="B17" s="284"/>
      <c r="C17" s="61">
        <v>25000</v>
      </c>
      <c r="D17" s="63"/>
      <c r="E17" s="63"/>
      <c r="F17" s="63"/>
      <c r="G17" s="63"/>
      <c r="H17" s="61">
        <f t="shared" si="2"/>
        <v>25000</v>
      </c>
    </row>
    <row r="18" spans="1:10" x14ac:dyDescent="0.25">
      <c r="A18" s="386" t="s">
        <v>1407</v>
      </c>
      <c r="B18" s="284"/>
      <c r="C18" s="61">
        <v>25000</v>
      </c>
      <c r="D18" s="63">
        <v>5000</v>
      </c>
      <c r="E18" s="63">
        <v>5000</v>
      </c>
      <c r="F18" s="63">
        <v>5000</v>
      </c>
      <c r="G18" s="63">
        <v>5000</v>
      </c>
      <c r="H18" s="61">
        <f t="shared" si="2"/>
        <v>45000</v>
      </c>
    </row>
    <row r="19" spans="1:10" x14ac:dyDescent="0.25">
      <c r="A19" s="384" t="s">
        <v>1412</v>
      </c>
      <c r="B19" s="284"/>
      <c r="C19" s="61">
        <v>7500</v>
      </c>
      <c r="D19" s="61">
        <v>5000</v>
      </c>
      <c r="E19" s="61">
        <v>5000</v>
      </c>
      <c r="F19" s="61">
        <v>5000</v>
      </c>
      <c r="G19" s="63"/>
      <c r="H19" s="61">
        <f t="shared" si="2"/>
        <v>22500</v>
      </c>
    </row>
    <row r="20" spans="1:10" x14ac:dyDescent="0.25">
      <c r="A20" s="384" t="s">
        <v>1408</v>
      </c>
      <c r="B20" s="284"/>
      <c r="C20" s="63"/>
      <c r="D20" s="61">
        <v>82500</v>
      </c>
      <c r="E20" s="61">
        <v>82500</v>
      </c>
      <c r="F20" s="61">
        <v>82500</v>
      </c>
      <c r="G20" s="61">
        <v>82500</v>
      </c>
      <c r="H20" s="61">
        <f>SUM(D20:G20)</f>
        <v>330000</v>
      </c>
    </row>
    <row r="21" spans="1:10" x14ac:dyDescent="0.25">
      <c r="A21" s="384" t="s">
        <v>1410</v>
      </c>
      <c r="B21" s="284"/>
      <c r="C21" s="63"/>
      <c r="D21" s="61">
        <v>50000</v>
      </c>
      <c r="E21" s="61">
        <v>50000</v>
      </c>
      <c r="F21" s="61"/>
      <c r="G21" s="61"/>
      <c r="H21" s="61">
        <f t="shared" ref="H21:H27" si="4">SUM(D21:G21)</f>
        <v>100000</v>
      </c>
    </row>
    <row r="22" spans="1:10" x14ac:dyDescent="0.25">
      <c r="A22" s="405" t="s">
        <v>1414</v>
      </c>
      <c r="B22" s="406"/>
      <c r="C22" s="407"/>
      <c r="D22" s="408">
        <v>110000</v>
      </c>
      <c r="E22" s="61"/>
      <c r="F22" s="61"/>
      <c r="G22" s="61"/>
      <c r="H22" s="61">
        <f t="shared" si="4"/>
        <v>110000</v>
      </c>
    </row>
    <row r="23" spans="1:10" x14ac:dyDescent="0.25">
      <c r="A23" s="405" t="s">
        <v>1415</v>
      </c>
      <c r="B23" s="406"/>
      <c r="C23" s="407"/>
      <c r="D23" s="408">
        <v>30000</v>
      </c>
      <c r="E23" s="61"/>
      <c r="F23" s="61"/>
      <c r="G23" s="61"/>
      <c r="H23" s="61">
        <f t="shared" si="4"/>
        <v>30000</v>
      </c>
    </row>
    <row r="24" spans="1:10" x14ac:dyDescent="0.25">
      <c r="A24" s="384" t="s">
        <v>1417</v>
      </c>
      <c r="B24" s="284"/>
      <c r="C24" s="63"/>
      <c r="D24" s="61"/>
      <c r="E24" s="61"/>
      <c r="F24" s="61">
        <v>80000</v>
      </c>
      <c r="G24" s="61"/>
      <c r="H24" s="61">
        <f t="shared" si="4"/>
        <v>80000</v>
      </c>
    </row>
    <row r="25" spans="1:10" x14ac:dyDescent="0.25">
      <c r="A25" s="384" t="s">
        <v>1418</v>
      </c>
      <c r="B25" s="284"/>
      <c r="C25" s="63"/>
      <c r="D25" s="61"/>
      <c r="E25" s="61"/>
      <c r="F25" s="61"/>
      <c r="G25" s="61">
        <v>150000</v>
      </c>
      <c r="H25" s="61">
        <f t="shared" si="4"/>
        <v>150000</v>
      </c>
    </row>
    <row r="26" spans="1:10" x14ac:dyDescent="0.25">
      <c r="A26" s="384" t="s">
        <v>1419</v>
      </c>
      <c r="B26" s="284"/>
      <c r="C26" s="63"/>
      <c r="D26" s="61">
        <v>30000</v>
      </c>
      <c r="E26" s="61"/>
      <c r="F26" s="61"/>
      <c r="G26" s="61"/>
      <c r="H26" s="61">
        <f t="shared" si="4"/>
        <v>30000</v>
      </c>
    </row>
    <row r="27" spans="1:10" x14ac:dyDescent="0.25">
      <c r="A27" s="384" t="s">
        <v>1416</v>
      </c>
      <c r="B27" s="284"/>
      <c r="C27" s="63"/>
      <c r="D27" s="61">
        <v>30000</v>
      </c>
      <c r="E27" s="61"/>
      <c r="F27" s="61">
        <v>0</v>
      </c>
      <c r="G27" s="61"/>
      <c r="H27" s="61">
        <f t="shared" si="4"/>
        <v>30000</v>
      </c>
    </row>
    <row r="28" spans="1:10" x14ac:dyDescent="0.25">
      <c r="A28" s="425" t="s">
        <v>1430</v>
      </c>
      <c r="B28" s="426"/>
      <c r="C28" s="427">
        <f>SUM(C16:C27)</f>
        <v>100000</v>
      </c>
      <c r="D28" s="427">
        <f t="shared" ref="D28:H28" si="5">SUM(D16:D27)</f>
        <v>352500</v>
      </c>
      <c r="E28" s="427">
        <f t="shared" si="5"/>
        <v>152500</v>
      </c>
      <c r="F28" s="427">
        <f t="shared" si="5"/>
        <v>182500</v>
      </c>
      <c r="G28" s="427">
        <f t="shared" si="5"/>
        <v>247500</v>
      </c>
      <c r="H28" s="427">
        <f>SUM(C28:G28)</f>
        <v>1035000</v>
      </c>
      <c r="J28" s="177"/>
    </row>
    <row r="29" spans="1:10" x14ac:dyDescent="0.25">
      <c r="A29" s="383"/>
      <c r="B29" s="286"/>
      <c r="C29" s="285"/>
      <c r="D29" s="285"/>
      <c r="E29" s="285"/>
      <c r="F29" s="285"/>
      <c r="G29" s="285"/>
      <c r="H29" s="285"/>
    </row>
    <row r="30" spans="1:10" ht="16.5" x14ac:dyDescent="0.35">
      <c r="A30" s="315" t="s">
        <v>19</v>
      </c>
      <c r="B30" s="290"/>
      <c r="C30" s="316">
        <f>+(C5+C13+C15)</f>
        <v>626556</v>
      </c>
      <c r="D30" s="316">
        <f t="shared" ref="D30:G30" si="6">+(D5+D13+D15)</f>
        <v>750367</v>
      </c>
      <c r="E30" s="316">
        <f t="shared" si="6"/>
        <v>905367</v>
      </c>
      <c r="F30" s="316">
        <f t="shared" si="6"/>
        <v>1000000</v>
      </c>
      <c r="G30" s="316">
        <f t="shared" si="6"/>
        <v>1050000</v>
      </c>
      <c r="H30" s="316">
        <f>SUM(C30:G30)</f>
        <v>4332290</v>
      </c>
    </row>
    <row r="31" spans="1:10" x14ac:dyDescent="0.25">
      <c r="A31" s="420"/>
      <c r="B31" s="421"/>
      <c r="C31" s="422"/>
      <c r="D31" s="422"/>
      <c r="E31" s="422"/>
      <c r="F31" s="422"/>
      <c r="G31" s="422"/>
      <c r="H31" s="422"/>
    </row>
    <row r="32" spans="1:10" x14ac:dyDescent="0.25">
      <c r="A32" s="423"/>
      <c r="B32" s="424"/>
      <c r="C32" s="35"/>
      <c r="D32" s="35"/>
      <c r="E32" s="35"/>
      <c r="F32" s="35"/>
      <c r="G32" s="35"/>
      <c r="H32" s="35"/>
    </row>
    <row r="33" spans="1:8" x14ac:dyDescent="0.25">
      <c r="A33" s="423"/>
      <c r="B33" s="424"/>
      <c r="C33" s="35"/>
      <c r="D33" s="35"/>
      <c r="E33" s="35"/>
      <c r="F33" s="35"/>
      <c r="G33" s="35"/>
      <c r="H33" s="35"/>
    </row>
    <row r="34" spans="1:8" x14ac:dyDescent="0.25">
      <c r="A34" s="423"/>
      <c r="B34" s="424"/>
      <c r="C34" s="35"/>
      <c r="D34" s="35"/>
      <c r="E34" s="35"/>
      <c r="F34" s="35"/>
      <c r="G34" s="35"/>
      <c r="H34" s="35"/>
    </row>
    <row r="35" spans="1:8" x14ac:dyDescent="0.25">
      <c r="A35" s="423"/>
      <c r="B35" s="423"/>
      <c r="C35" s="38"/>
      <c r="D35" s="39"/>
      <c r="E35" s="39"/>
      <c r="F35" s="39"/>
      <c r="G35" s="39"/>
      <c r="H35" s="39"/>
    </row>
    <row r="36" spans="1:8" x14ac:dyDescent="0.25">
      <c r="A36" s="423"/>
      <c r="B36" s="423"/>
      <c r="C36" s="38"/>
      <c r="D36" s="39"/>
      <c r="E36" s="39"/>
      <c r="F36" s="39"/>
      <c r="G36" s="39"/>
      <c r="H36" s="39"/>
    </row>
    <row r="37" spans="1:8" x14ac:dyDescent="0.25">
      <c r="A37" s="423"/>
      <c r="B37" s="423"/>
      <c r="C37" s="38"/>
      <c r="D37" s="39"/>
      <c r="E37" s="39"/>
      <c r="F37" s="39"/>
      <c r="G37" s="39"/>
      <c r="H37" s="39"/>
    </row>
    <row r="38" spans="1:8" x14ac:dyDescent="0.25">
      <c r="A38" s="423"/>
      <c r="B38" s="423"/>
      <c r="C38" s="38"/>
      <c r="D38" s="39"/>
      <c r="E38" s="39"/>
      <c r="F38" s="39"/>
      <c r="G38" s="39"/>
      <c r="H38" s="39"/>
    </row>
    <row r="39" spans="1:8" x14ac:dyDescent="0.25">
      <c r="A39" s="423"/>
      <c r="B39" s="423"/>
      <c r="C39" s="38"/>
      <c r="D39" s="39"/>
      <c r="E39" s="39"/>
      <c r="F39" s="39"/>
      <c r="G39" s="39"/>
      <c r="H39" s="39"/>
    </row>
    <row r="40" spans="1:8" x14ac:dyDescent="0.25">
      <c r="A40" s="34"/>
      <c r="B40" s="34"/>
      <c r="C40" s="38"/>
      <c r="D40" s="39"/>
      <c r="E40" s="39"/>
      <c r="F40" s="39"/>
      <c r="G40" s="39"/>
      <c r="H40" s="39"/>
    </row>
    <row r="41" spans="1:8" x14ac:dyDescent="0.25">
      <c r="A41" s="34"/>
      <c r="B41" s="34"/>
      <c r="C41" s="38"/>
      <c r="D41" s="39"/>
      <c r="E41" s="39"/>
      <c r="F41" s="39"/>
      <c r="G41" s="39"/>
      <c r="H41" s="39"/>
    </row>
    <row r="42" spans="1:8" x14ac:dyDescent="0.25">
      <c r="A42" s="34"/>
      <c r="B42" s="34"/>
      <c r="C42" s="38"/>
      <c r="D42" s="39"/>
      <c r="E42" s="39"/>
      <c r="F42" s="39"/>
      <c r="G42" s="39"/>
      <c r="H42" s="39"/>
    </row>
    <row r="43" spans="1:8" x14ac:dyDescent="0.25">
      <c r="B43" s="36"/>
      <c r="C43" s="35"/>
      <c r="D43" s="35"/>
      <c r="E43" s="35"/>
      <c r="F43" s="35"/>
      <c r="G43" s="35"/>
      <c r="H43" s="35"/>
    </row>
    <row r="44" spans="1:8" x14ac:dyDescent="0.25">
      <c r="A44" s="34"/>
      <c r="B44" s="36"/>
      <c r="C44" s="32"/>
      <c r="D44" s="32"/>
      <c r="E44" s="32"/>
      <c r="F44" s="32"/>
      <c r="G44" s="32"/>
      <c r="H44" s="32"/>
    </row>
    <row r="45" spans="1:8" x14ac:dyDescent="0.25">
      <c r="A45" s="34"/>
      <c r="B45" s="36"/>
      <c r="C45" s="32"/>
      <c r="D45" s="32"/>
      <c r="E45" s="32"/>
      <c r="G45" s="32"/>
      <c r="H45" s="32"/>
    </row>
    <row r="46" spans="1:8" x14ac:dyDescent="0.25">
      <c r="A46" s="34"/>
      <c r="B46" s="36"/>
      <c r="C46" s="32"/>
      <c r="D46" s="32"/>
      <c r="E46" s="32"/>
      <c r="G46" s="32"/>
      <c r="H46" s="32"/>
    </row>
    <row r="47" spans="1:8" x14ac:dyDescent="0.25">
      <c r="A47" s="34"/>
      <c r="B47" s="36"/>
      <c r="C47" s="32"/>
      <c r="D47" s="32"/>
      <c r="E47" s="32"/>
      <c r="G47" s="32"/>
      <c r="H47" s="32"/>
    </row>
    <row r="48" spans="1:8" x14ac:dyDescent="0.25">
      <c r="A48" s="34"/>
      <c r="B48" s="36"/>
      <c r="C48" s="32"/>
      <c r="D48" s="32"/>
      <c r="E48" s="32"/>
      <c r="G48" s="32"/>
      <c r="H48" s="32"/>
    </row>
    <row r="49" spans="1:8" x14ac:dyDescent="0.25">
      <c r="A49" s="34"/>
      <c r="B49" s="36"/>
      <c r="C49" s="32"/>
      <c r="D49" s="32"/>
      <c r="E49" s="32"/>
      <c r="G49" s="32"/>
      <c r="H49" s="32"/>
    </row>
    <row r="50" spans="1:8" ht="16.5" x14ac:dyDescent="0.35">
      <c r="A50" s="31"/>
      <c r="B50" s="36"/>
      <c r="C50" s="41"/>
      <c r="D50" s="41"/>
      <c r="E50" s="41"/>
      <c r="F50" s="41"/>
      <c r="G50" s="41"/>
      <c r="H50" s="41"/>
    </row>
    <row r="51" spans="1:8" ht="16.5" x14ac:dyDescent="0.35">
      <c r="B51" s="36"/>
      <c r="C51" s="41"/>
      <c r="D51" s="41"/>
      <c r="E51" s="41"/>
      <c r="F51" s="41"/>
      <c r="G51" s="41"/>
      <c r="H51" s="41"/>
    </row>
    <row r="52" spans="1:8" ht="16.5" x14ac:dyDescent="0.35">
      <c r="A52" s="42"/>
      <c r="B52" s="43"/>
      <c r="C52" s="37"/>
      <c r="D52" s="37"/>
      <c r="E52" s="37"/>
      <c r="F52" s="37"/>
      <c r="G52" s="37"/>
      <c r="H52" s="37"/>
    </row>
    <row r="53" spans="1:8" x14ac:dyDescent="0.25">
      <c r="B53" s="36"/>
      <c r="C53" s="32"/>
      <c r="D53" s="32"/>
      <c r="E53" s="32"/>
      <c r="F53" s="32"/>
      <c r="G53" s="32"/>
      <c r="H53" s="32"/>
    </row>
    <row r="54" spans="1:8" x14ac:dyDescent="0.25">
      <c r="B54" s="44"/>
      <c r="C54" s="45"/>
      <c r="D54" s="45"/>
    </row>
    <row r="55" spans="1:8" ht="16.5" x14ac:dyDescent="0.35">
      <c r="A55" s="46"/>
      <c r="B55" s="44"/>
      <c r="C55" s="45"/>
      <c r="D55" s="45"/>
    </row>
    <row r="56" spans="1:8" x14ac:dyDescent="0.25">
      <c r="B56" s="36"/>
    </row>
    <row r="57" spans="1:8" ht="16.5" x14ac:dyDescent="0.35">
      <c r="B57" s="36"/>
      <c r="E57" s="47"/>
    </row>
    <row r="58" spans="1:8" ht="16.5" x14ac:dyDescent="0.35">
      <c r="B58" s="36"/>
      <c r="E58" s="47"/>
    </row>
    <row r="59" spans="1:8" ht="16.5" x14ac:dyDescent="0.35">
      <c r="B59" s="36"/>
      <c r="E59" s="47"/>
    </row>
    <row r="60" spans="1:8" ht="16.5" x14ac:dyDescent="0.35">
      <c r="B60" s="36"/>
      <c r="E60" s="47"/>
    </row>
    <row r="61" spans="1:8" ht="16.5" x14ac:dyDescent="0.35">
      <c r="B61" s="36"/>
      <c r="C61" s="47"/>
      <c r="E61" s="47"/>
    </row>
    <row r="63" spans="1:8" ht="16.5" x14ac:dyDescent="0.35">
      <c r="C63" s="47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1:H1"/>
  </mergeCells>
  <pageMargins left="0.7" right="0.7" top="0.75" bottom="0.75" header="0.3" footer="0.3"/>
  <pageSetup scale="8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7F879-56B0-4561-ABFE-DBEAC8A906B5}">
  <sheetPr>
    <pageSetUpPr fitToPage="1"/>
  </sheetPr>
  <dimension ref="A2:AJ147"/>
  <sheetViews>
    <sheetView zoomScaleNormal="100" workbookViewId="0">
      <pane xSplit="6" ySplit="2" topLeftCell="G45" activePane="bottomRight" state="frozen"/>
      <selection pane="topRight" activeCell="G1" sqref="G1"/>
      <selection pane="bottomLeft" activeCell="A3" sqref="A3"/>
      <selection pane="bottomRight" activeCell="C48" sqref="C48"/>
    </sheetView>
  </sheetViews>
  <sheetFormatPr defaultRowHeight="15" x14ac:dyDescent="0.25"/>
  <cols>
    <col min="1" max="1" width="13.140625" style="2" customWidth="1"/>
    <col min="2" max="2" width="13.5703125" style="2" customWidth="1"/>
    <col min="3" max="3" width="13.85546875" style="2" customWidth="1"/>
    <col min="4" max="4" width="18.85546875" style="2" customWidth="1"/>
    <col min="5" max="5" width="11.140625" style="2" customWidth="1"/>
    <col min="6" max="6" width="11.7109375" style="2" customWidth="1"/>
    <col min="7" max="7" width="9.85546875" style="2" customWidth="1"/>
    <col min="8" max="8" width="10.85546875" style="64" customWidth="1"/>
    <col min="9" max="9" width="9.140625" style="2"/>
    <col min="10" max="10" width="14" style="64" customWidth="1"/>
    <col min="11" max="11" width="12" style="64" customWidth="1"/>
    <col min="12" max="12" width="9.140625" style="2"/>
    <col min="13" max="13" width="14.28515625" style="64" customWidth="1"/>
    <col min="14" max="14" width="14.28515625" style="27" bestFit="1" customWidth="1"/>
    <col min="15" max="15" width="12.140625" style="27" customWidth="1"/>
    <col min="16" max="16" width="12.5703125" style="27" customWidth="1"/>
    <col min="17" max="18" width="15.42578125" style="27" customWidth="1"/>
    <col min="19" max="19" width="17.5703125" style="27" customWidth="1"/>
    <col min="20" max="20" width="14.28515625" style="27" customWidth="1"/>
    <col min="21" max="21" width="15.140625" style="27" customWidth="1"/>
    <col min="22" max="22" width="14.7109375" style="27" customWidth="1"/>
    <col min="23" max="23" width="1.28515625" style="27" customWidth="1"/>
    <col min="24" max="24" width="11.7109375" style="27" customWidth="1"/>
    <col min="25" max="25" width="9.140625" style="2"/>
    <col min="26" max="26" width="12.5703125" style="27" bestFit="1" customWidth="1"/>
    <col min="27" max="27" width="9.140625" style="2"/>
    <col min="28" max="28" width="12.5703125" style="27" bestFit="1" customWidth="1"/>
    <col min="29" max="29" width="9.140625" style="2"/>
    <col min="30" max="30" width="12.28515625" style="64" customWidth="1"/>
    <col min="31" max="31" width="8.5703125" style="68" customWidth="1"/>
    <col min="32" max="32" width="13.140625" style="27" customWidth="1"/>
    <col min="33" max="33" width="2" customWidth="1"/>
    <col min="34" max="34" width="13.85546875" style="27" customWidth="1"/>
    <col min="36" max="36" width="11.5703125" bestFit="1" customWidth="1"/>
  </cols>
  <sheetData>
    <row r="2" spans="1:34" ht="45" customHeight="1" x14ac:dyDescent="0.25">
      <c r="A2" s="2" t="s">
        <v>503</v>
      </c>
      <c r="B2" s="2" t="s">
        <v>504</v>
      </c>
      <c r="C2" s="2" t="s">
        <v>487</v>
      </c>
      <c r="D2" s="2" t="s">
        <v>488</v>
      </c>
      <c r="E2" s="2" t="s">
        <v>489</v>
      </c>
      <c r="F2" s="2" t="s">
        <v>723</v>
      </c>
      <c r="G2" s="1" t="s">
        <v>530</v>
      </c>
      <c r="H2" s="3" t="s">
        <v>726</v>
      </c>
      <c r="I2" s="1" t="s">
        <v>490</v>
      </c>
      <c r="J2" s="3" t="s">
        <v>727</v>
      </c>
      <c r="K2" s="3" t="s">
        <v>725</v>
      </c>
      <c r="L2" s="1" t="s">
        <v>490</v>
      </c>
      <c r="M2" s="3" t="s">
        <v>728</v>
      </c>
      <c r="N2" s="83" t="s">
        <v>502</v>
      </c>
      <c r="O2" s="3" t="s">
        <v>500</v>
      </c>
      <c r="P2" s="3" t="s">
        <v>501</v>
      </c>
      <c r="Q2" s="83" t="s">
        <v>811</v>
      </c>
      <c r="R2" s="83" t="s">
        <v>812</v>
      </c>
      <c r="S2" s="109" t="s">
        <v>1349</v>
      </c>
      <c r="T2" s="84" t="s">
        <v>491</v>
      </c>
      <c r="U2" s="84" t="s">
        <v>774</v>
      </c>
      <c r="V2" s="83" t="s">
        <v>779</v>
      </c>
      <c r="W2" s="84" t="s">
        <v>780</v>
      </c>
      <c r="X2" s="83" t="s">
        <v>492</v>
      </c>
      <c r="Y2" s="1" t="s">
        <v>493</v>
      </c>
      <c r="Z2" s="83" t="s">
        <v>494</v>
      </c>
      <c r="AA2" s="1" t="s">
        <v>495</v>
      </c>
      <c r="AB2" s="3" t="s">
        <v>496</v>
      </c>
      <c r="AC2" s="1" t="s">
        <v>497</v>
      </c>
      <c r="AD2" s="3" t="s">
        <v>498</v>
      </c>
      <c r="AE2" s="68" t="s">
        <v>783</v>
      </c>
      <c r="AF2" s="3" t="s">
        <v>784</v>
      </c>
      <c r="AH2" s="3" t="s">
        <v>813</v>
      </c>
    </row>
    <row r="3" spans="1:34" x14ac:dyDescent="0.25">
      <c r="A3" s="70" t="s">
        <v>642</v>
      </c>
      <c r="B3" s="70" t="s">
        <v>643</v>
      </c>
      <c r="C3" s="70" t="s">
        <v>644</v>
      </c>
      <c r="D3" s="70" t="s">
        <v>644</v>
      </c>
      <c r="E3" s="70" t="s">
        <v>523</v>
      </c>
      <c r="F3" s="71">
        <v>35443</v>
      </c>
      <c r="G3" s="70" t="s">
        <v>584</v>
      </c>
      <c r="H3" s="72">
        <v>32.26</v>
      </c>
      <c r="I3" s="70">
        <v>35</v>
      </c>
      <c r="J3" s="72">
        <f t="shared" ref="J3:J33" si="0">+(I3*H3*26)</f>
        <v>29356.6</v>
      </c>
      <c r="K3" s="72">
        <v>32.659999999999997</v>
      </c>
      <c r="L3" s="70">
        <v>35</v>
      </c>
      <c r="M3" s="72">
        <f t="shared" ref="M3:M33" si="1">+(L3*K3*26)</f>
        <v>29720.6</v>
      </c>
      <c r="N3" s="28">
        <f t="shared" ref="N3:N47" si="2">+(J3+M3)</f>
        <v>59077.2</v>
      </c>
      <c r="O3" s="28">
        <f t="shared" ref="O3:O49" si="3">+(N3/52)</f>
        <v>1136.0999999999999</v>
      </c>
      <c r="P3" s="28">
        <f t="shared" ref="P3:P49" si="4">+(O3/5)</f>
        <v>227.21999999999997</v>
      </c>
      <c r="Q3" s="28">
        <f t="shared" ref="Q3:Q49" si="5">+(N3*0.062)</f>
        <v>3662.7864</v>
      </c>
      <c r="R3" s="28">
        <f t="shared" ref="R3:R49" si="6">+(N3*0.0145)</f>
        <v>856.61940000000004</v>
      </c>
      <c r="S3" s="28">
        <f t="shared" ref="S3:S49" si="7">+(N3*0.1675)</f>
        <v>9895.4310000000005</v>
      </c>
      <c r="T3" s="28">
        <f t="shared" ref="T3:T12" si="8">+(9.95*35*52)</f>
        <v>18109</v>
      </c>
      <c r="U3" s="77">
        <f t="shared" ref="U3:U49" si="9">+(T3/12)</f>
        <v>1509.0833333333333</v>
      </c>
      <c r="V3" s="28">
        <v>18109</v>
      </c>
      <c r="W3" s="110"/>
      <c r="X3" s="110"/>
      <c r="Y3" s="70">
        <v>15</v>
      </c>
      <c r="Z3" s="28">
        <f t="shared" ref="Z3:Z49" si="10">+(Y3*P3)</f>
        <v>3408.2999999999997</v>
      </c>
      <c r="AA3" s="70">
        <v>25</v>
      </c>
      <c r="AB3" s="28">
        <f t="shared" ref="AB3:AB49" si="11">+(AA3*P3)</f>
        <v>5680.4999999999991</v>
      </c>
      <c r="AC3" s="70">
        <v>4</v>
      </c>
      <c r="AD3" s="72">
        <f t="shared" ref="AD3:AD49" si="12">+(AC3*P3)</f>
        <v>908.87999999999988</v>
      </c>
      <c r="AE3" s="73">
        <v>14</v>
      </c>
      <c r="AF3" s="28">
        <f t="shared" ref="AF3:AF49" si="13">+(AE3*P3)</f>
        <v>3181.0799999999995</v>
      </c>
      <c r="AH3" s="27">
        <f>+(Z3+X3+V3+S3+R3+Q3+N3)</f>
        <v>95009.33679999999</v>
      </c>
    </row>
    <row r="4" spans="1:34" x14ac:dyDescent="0.25">
      <c r="A4" s="70" t="s">
        <v>564</v>
      </c>
      <c r="B4" s="70" t="s">
        <v>545</v>
      </c>
      <c r="C4" s="70" t="s">
        <v>562</v>
      </c>
      <c r="D4" s="70" t="s">
        <v>565</v>
      </c>
      <c r="E4" s="70" t="s">
        <v>523</v>
      </c>
      <c r="F4" s="71">
        <v>33442</v>
      </c>
      <c r="G4" s="70" t="s">
        <v>586</v>
      </c>
      <c r="H4" s="72">
        <v>26.57</v>
      </c>
      <c r="I4" s="70">
        <v>35</v>
      </c>
      <c r="J4" s="72">
        <f t="shared" si="0"/>
        <v>24178.7</v>
      </c>
      <c r="K4" s="72">
        <v>26.9</v>
      </c>
      <c r="L4" s="70">
        <v>35</v>
      </c>
      <c r="M4" s="72">
        <f t="shared" si="1"/>
        <v>24479</v>
      </c>
      <c r="N4" s="28">
        <f t="shared" si="2"/>
        <v>48657.7</v>
      </c>
      <c r="O4" s="28">
        <f t="shared" si="3"/>
        <v>935.72499999999991</v>
      </c>
      <c r="P4" s="28">
        <f t="shared" si="4"/>
        <v>187.14499999999998</v>
      </c>
      <c r="Q4" s="28">
        <f t="shared" si="5"/>
        <v>3016.7773999999999</v>
      </c>
      <c r="R4" s="28">
        <f t="shared" si="6"/>
        <v>705.53665000000001</v>
      </c>
      <c r="S4" s="28">
        <f t="shared" si="7"/>
        <v>8150.1647499999999</v>
      </c>
      <c r="T4" s="28">
        <f t="shared" si="8"/>
        <v>18109</v>
      </c>
      <c r="U4" s="77">
        <f t="shared" si="9"/>
        <v>1509.0833333333333</v>
      </c>
      <c r="V4" s="28">
        <v>18109</v>
      </c>
      <c r="W4" s="110"/>
      <c r="X4" s="110"/>
      <c r="Y4" s="70">
        <v>15</v>
      </c>
      <c r="Z4" s="28">
        <f t="shared" si="10"/>
        <v>2807.1749999999997</v>
      </c>
      <c r="AA4" s="70">
        <v>25</v>
      </c>
      <c r="AB4" s="28">
        <f t="shared" si="11"/>
        <v>4678.625</v>
      </c>
      <c r="AC4" s="70">
        <v>4</v>
      </c>
      <c r="AD4" s="72">
        <f t="shared" si="12"/>
        <v>748.57999999999993</v>
      </c>
      <c r="AE4" s="73">
        <v>14</v>
      </c>
      <c r="AF4" s="28">
        <f t="shared" si="13"/>
        <v>2620.0299999999997</v>
      </c>
      <c r="AH4" s="27">
        <f t="shared" ref="AH4:AH60" si="14">+(Z4+X4+V4+S4+R4+Q4+N4)</f>
        <v>81446.353799999997</v>
      </c>
    </row>
    <row r="5" spans="1:34" x14ac:dyDescent="0.25">
      <c r="A5" s="70" t="s">
        <v>566</v>
      </c>
      <c r="B5" s="70" t="s">
        <v>567</v>
      </c>
      <c r="C5" s="70" t="s">
        <v>562</v>
      </c>
      <c r="D5" s="70" t="s">
        <v>555</v>
      </c>
      <c r="E5" s="70" t="s">
        <v>523</v>
      </c>
      <c r="F5" s="71">
        <v>41965</v>
      </c>
      <c r="G5" s="70" t="s">
        <v>586</v>
      </c>
      <c r="H5" s="72">
        <v>26.57</v>
      </c>
      <c r="I5" s="70">
        <v>35</v>
      </c>
      <c r="J5" s="72">
        <f t="shared" si="0"/>
        <v>24178.7</v>
      </c>
      <c r="K5" s="72">
        <v>26.9</v>
      </c>
      <c r="L5" s="70">
        <v>35</v>
      </c>
      <c r="M5" s="72">
        <f t="shared" si="1"/>
        <v>24479</v>
      </c>
      <c r="N5" s="28">
        <f t="shared" si="2"/>
        <v>48657.7</v>
      </c>
      <c r="O5" s="28">
        <f t="shared" si="3"/>
        <v>935.72499999999991</v>
      </c>
      <c r="P5" s="28">
        <f t="shared" si="4"/>
        <v>187.14499999999998</v>
      </c>
      <c r="Q5" s="28">
        <f t="shared" si="5"/>
        <v>3016.7773999999999</v>
      </c>
      <c r="R5" s="28">
        <f t="shared" si="6"/>
        <v>705.53665000000001</v>
      </c>
      <c r="S5" s="28">
        <f t="shared" si="7"/>
        <v>8150.1647499999999</v>
      </c>
      <c r="T5" s="28">
        <f t="shared" si="8"/>
        <v>18109</v>
      </c>
      <c r="U5" s="77">
        <f t="shared" si="9"/>
        <v>1509.0833333333333</v>
      </c>
      <c r="V5" s="28">
        <v>18109</v>
      </c>
      <c r="W5" s="110"/>
      <c r="X5" s="110"/>
      <c r="Y5" s="70">
        <v>10</v>
      </c>
      <c r="Z5" s="28">
        <f t="shared" si="10"/>
        <v>1871.4499999999998</v>
      </c>
      <c r="AA5" s="70">
        <v>15</v>
      </c>
      <c r="AB5" s="28">
        <f t="shared" si="11"/>
        <v>2807.1749999999997</v>
      </c>
      <c r="AC5" s="70">
        <v>4</v>
      </c>
      <c r="AD5" s="72">
        <f t="shared" si="12"/>
        <v>748.57999999999993</v>
      </c>
      <c r="AE5" s="73">
        <v>14</v>
      </c>
      <c r="AF5" s="28">
        <f t="shared" si="13"/>
        <v>2620.0299999999997</v>
      </c>
      <c r="AH5" s="27">
        <f>+(Z5+X5+V5+S5+R5+Q5+N5)</f>
        <v>80510.628800000006</v>
      </c>
    </row>
    <row r="6" spans="1:34" x14ac:dyDescent="0.25">
      <c r="A6" s="70" t="s">
        <v>775</v>
      </c>
      <c r="B6" s="70" t="s">
        <v>709</v>
      </c>
      <c r="C6" s="70" t="s">
        <v>570</v>
      </c>
      <c r="D6" s="70" t="s">
        <v>570</v>
      </c>
      <c r="E6" s="70" t="s">
        <v>523</v>
      </c>
      <c r="F6" s="71">
        <v>34948</v>
      </c>
      <c r="G6" s="70" t="s">
        <v>586</v>
      </c>
      <c r="H6" s="72">
        <v>26.57</v>
      </c>
      <c r="I6" s="70">
        <v>35</v>
      </c>
      <c r="J6" s="72">
        <f t="shared" si="0"/>
        <v>24178.7</v>
      </c>
      <c r="K6" s="72">
        <v>26.9</v>
      </c>
      <c r="L6" s="70">
        <v>35</v>
      </c>
      <c r="M6" s="72">
        <f t="shared" si="1"/>
        <v>24479</v>
      </c>
      <c r="N6" s="28">
        <f t="shared" si="2"/>
        <v>48657.7</v>
      </c>
      <c r="O6" s="28">
        <f t="shared" si="3"/>
        <v>935.72499999999991</v>
      </c>
      <c r="P6" s="28">
        <f t="shared" si="4"/>
        <v>187.14499999999998</v>
      </c>
      <c r="Q6" s="28">
        <f t="shared" si="5"/>
        <v>3016.7773999999999</v>
      </c>
      <c r="R6" s="28">
        <f t="shared" si="6"/>
        <v>705.53665000000001</v>
      </c>
      <c r="S6" s="28">
        <f t="shared" si="7"/>
        <v>8150.1647499999999</v>
      </c>
      <c r="T6" s="28">
        <f t="shared" si="8"/>
        <v>18109</v>
      </c>
      <c r="U6" s="77">
        <f t="shared" si="9"/>
        <v>1509.0833333333333</v>
      </c>
      <c r="V6" s="28">
        <v>18109</v>
      </c>
      <c r="W6" s="110"/>
      <c r="X6" s="110"/>
      <c r="Y6" s="70">
        <v>15</v>
      </c>
      <c r="Z6" s="28">
        <f t="shared" si="10"/>
        <v>2807.1749999999997</v>
      </c>
      <c r="AA6" s="70">
        <v>25</v>
      </c>
      <c r="AB6" s="28">
        <f t="shared" si="11"/>
        <v>4678.625</v>
      </c>
      <c r="AC6" s="70">
        <v>4</v>
      </c>
      <c r="AD6" s="72">
        <f t="shared" si="12"/>
        <v>748.57999999999993</v>
      </c>
      <c r="AE6" s="73">
        <v>14</v>
      </c>
      <c r="AF6" s="28">
        <f t="shared" si="13"/>
        <v>2620.0299999999997</v>
      </c>
      <c r="AH6" s="27">
        <f t="shared" si="14"/>
        <v>81446.353799999997</v>
      </c>
    </row>
    <row r="7" spans="1:34" x14ac:dyDescent="0.25">
      <c r="A7" s="70" t="s">
        <v>649</v>
      </c>
      <c r="B7" s="70" t="s">
        <v>650</v>
      </c>
      <c r="C7" s="70" t="s">
        <v>646</v>
      </c>
      <c r="D7" s="70" t="s">
        <v>646</v>
      </c>
      <c r="E7" s="74" t="s">
        <v>523</v>
      </c>
      <c r="F7" s="71">
        <v>40312</v>
      </c>
      <c r="G7" s="70" t="s">
        <v>584</v>
      </c>
      <c r="H7" s="72">
        <v>32.26</v>
      </c>
      <c r="I7" s="70">
        <v>35</v>
      </c>
      <c r="J7" s="72">
        <f t="shared" si="0"/>
        <v>29356.6</v>
      </c>
      <c r="K7" s="72">
        <v>32.659999999999997</v>
      </c>
      <c r="L7" s="70">
        <v>35</v>
      </c>
      <c r="M7" s="72">
        <f t="shared" si="1"/>
        <v>29720.6</v>
      </c>
      <c r="N7" s="28">
        <f t="shared" si="2"/>
        <v>59077.2</v>
      </c>
      <c r="O7" s="28">
        <f t="shared" si="3"/>
        <v>1136.0999999999999</v>
      </c>
      <c r="P7" s="28">
        <f t="shared" si="4"/>
        <v>227.21999999999997</v>
      </c>
      <c r="Q7" s="28">
        <f t="shared" si="5"/>
        <v>3662.7864</v>
      </c>
      <c r="R7" s="28">
        <f t="shared" si="6"/>
        <v>856.61940000000004</v>
      </c>
      <c r="S7" s="28">
        <f t="shared" si="7"/>
        <v>9895.4310000000005</v>
      </c>
      <c r="T7" s="28">
        <f t="shared" si="8"/>
        <v>18109</v>
      </c>
      <c r="U7" s="77">
        <f t="shared" si="9"/>
        <v>1509.0833333333333</v>
      </c>
      <c r="V7" s="28">
        <v>18109</v>
      </c>
      <c r="W7" s="110"/>
      <c r="X7" s="110"/>
      <c r="Y7" s="70">
        <v>10</v>
      </c>
      <c r="Z7" s="28">
        <f t="shared" si="10"/>
        <v>2272.1999999999998</v>
      </c>
      <c r="AA7" s="70">
        <v>20</v>
      </c>
      <c r="AB7" s="28">
        <f t="shared" si="11"/>
        <v>4544.3999999999996</v>
      </c>
      <c r="AC7" s="70">
        <v>4</v>
      </c>
      <c r="AD7" s="72">
        <f t="shared" si="12"/>
        <v>908.87999999999988</v>
      </c>
      <c r="AE7" s="73">
        <v>14</v>
      </c>
      <c r="AF7" s="28">
        <f t="shared" si="13"/>
        <v>3181.0799999999995</v>
      </c>
      <c r="AH7" s="27">
        <f t="shared" si="14"/>
        <v>93873.236799999999</v>
      </c>
    </row>
    <row r="8" spans="1:34" x14ac:dyDescent="0.25">
      <c r="A8" s="79" t="s">
        <v>695</v>
      </c>
      <c r="B8" s="70" t="s">
        <v>651</v>
      </c>
      <c r="C8" s="70" t="s">
        <v>646</v>
      </c>
      <c r="D8" s="70" t="s">
        <v>646</v>
      </c>
      <c r="E8" s="74" t="s">
        <v>523</v>
      </c>
      <c r="F8" s="71">
        <v>42534</v>
      </c>
      <c r="G8" s="70" t="s">
        <v>584</v>
      </c>
      <c r="H8" s="72">
        <v>32.26</v>
      </c>
      <c r="I8" s="70">
        <v>35</v>
      </c>
      <c r="J8" s="72">
        <f t="shared" si="0"/>
        <v>29356.6</v>
      </c>
      <c r="K8" s="72">
        <v>32.659999999999997</v>
      </c>
      <c r="L8" s="70">
        <v>35</v>
      </c>
      <c r="M8" s="72">
        <f t="shared" si="1"/>
        <v>29720.6</v>
      </c>
      <c r="N8" s="28">
        <f t="shared" si="2"/>
        <v>59077.2</v>
      </c>
      <c r="O8" s="28">
        <f t="shared" si="3"/>
        <v>1136.0999999999999</v>
      </c>
      <c r="P8" s="28">
        <f t="shared" si="4"/>
        <v>227.21999999999997</v>
      </c>
      <c r="Q8" s="28">
        <f t="shared" si="5"/>
        <v>3662.7864</v>
      </c>
      <c r="R8" s="28">
        <f t="shared" si="6"/>
        <v>856.61940000000004</v>
      </c>
      <c r="S8" s="28">
        <f t="shared" si="7"/>
        <v>9895.4310000000005</v>
      </c>
      <c r="T8" s="28">
        <f t="shared" si="8"/>
        <v>18109</v>
      </c>
      <c r="U8" s="77">
        <f t="shared" si="9"/>
        <v>1509.0833333333333</v>
      </c>
      <c r="V8" s="28">
        <v>18109</v>
      </c>
      <c r="W8" s="110"/>
      <c r="X8" s="110"/>
      <c r="Y8" s="70">
        <v>10</v>
      </c>
      <c r="Z8" s="28">
        <f t="shared" si="10"/>
        <v>2272.1999999999998</v>
      </c>
      <c r="AA8" s="70">
        <v>15</v>
      </c>
      <c r="AB8" s="28">
        <f t="shared" si="11"/>
        <v>3408.2999999999997</v>
      </c>
      <c r="AC8" s="70">
        <v>4</v>
      </c>
      <c r="AD8" s="72">
        <f t="shared" si="12"/>
        <v>908.87999999999988</v>
      </c>
      <c r="AE8" s="73">
        <v>14</v>
      </c>
      <c r="AF8" s="28">
        <f t="shared" si="13"/>
        <v>3181.0799999999995</v>
      </c>
      <c r="AH8" s="27">
        <f t="shared" si="14"/>
        <v>93873.236799999999</v>
      </c>
    </row>
    <row r="9" spans="1:34" x14ac:dyDescent="0.25">
      <c r="A9" s="70" t="s">
        <v>647</v>
      </c>
      <c r="B9" s="70" t="s">
        <v>648</v>
      </c>
      <c r="C9" s="70" t="s">
        <v>646</v>
      </c>
      <c r="D9" s="70" t="s">
        <v>646</v>
      </c>
      <c r="E9" s="74" t="s">
        <v>523</v>
      </c>
      <c r="F9" s="71">
        <v>37537</v>
      </c>
      <c r="G9" s="70" t="s">
        <v>584</v>
      </c>
      <c r="H9" s="72">
        <v>32.26</v>
      </c>
      <c r="I9" s="70">
        <v>35</v>
      </c>
      <c r="J9" s="72">
        <f t="shared" si="0"/>
        <v>29356.6</v>
      </c>
      <c r="K9" s="72">
        <v>32.659999999999997</v>
      </c>
      <c r="L9" s="70">
        <v>35</v>
      </c>
      <c r="M9" s="72">
        <f t="shared" si="1"/>
        <v>29720.6</v>
      </c>
      <c r="N9" s="28">
        <f t="shared" si="2"/>
        <v>59077.2</v>
      </c>
      <c r="O9" s="28">
        <f t="shared" si="3"/>
        <v>1136.0999999999999</v>
      </c>
      <c r="P9" s="28">
        <f t="shared" si="4"/>
        <v>227.21999999999997</v>
      </c>
      <c r="Q9" s="28">
        <f t="shared" si="5"/>
        <v>3662.7864</v>
      </c>
      <c r="R9" s="28">
        <f t="shared" si="6"/>
        <v>856.61940000000004</v>
      </c>
      <c r="S9" s="28">
        <f t="shared" si="7"/>
        <v>9895.4310000000005</v>
      </c>
      <c r="T9" s="28">
        <f t="shared" si="8"/>
        <v>18109</v>
      </c>
      <c r="U9" s="77">
        <f t="shared" si="9"/>
        <v>1509.0833333333333</v>
      </c>
      <c r="V9" s="28">
        <v>18109</v>
      </c>
      <c r="W9" s="110"/>
      <c r="X9" s="110"/>
      <c r="Y9" s="70">
        <v>15</v>
      </c>
      <c r="Z9" s="28">
        <f t="shared" si="10"/>
        <v>3408.2999999999997</v>
      </c>
      <c r="AA9" s="70">
        <v>24</v>
      </c>
      <c r="AB9" s="28">
        <f t="shared" si="11"/>
        <v>5453.2799999999988</v>
      </c>
      <c r="AC9" s="70">
        <v>4</v>
      </c>
      <c r="AD9" s="72">
        <f t="shared" si="12"/>
        <v>908.87999999999988</v>
      </c>
      <c r="AE9" s="73">
        <v>14</v>
      </c>
      <c r="AF9" s="28">
        <f t="shared" si="13"/>
        <v>3181.0799999999995</v>
      </c>
      <c r="AH9" s="27">
        <f t="shared" si="14"/>
        <v>95009.33679999999</v>
      </c>
    </row>
    <row r="10" spans="1:34" x14ac:dyDescent="0.25">
      <c r="A10" s="70" t="s">
        <v>785</v>
      </c>
      <c r="B10" s="70" t="s">
        <v>588</v>
      </c>
      <c r="C10" s="70" t="s">
        <v>646</v>
      </c>
      <c r="D10" s="70" t="s">
        <v>646</v>
      </c>
      <c r="E10" s="70" t="s">
        <v>523</v>
      </c>
      <c r="F10" s="71">
        <v>43818</v>
      </c>
      <c r="G10" s="70" t="s">
        <v>787</v>
      </c>
      <c r="H10" s="72">
        <v>32.76</v>
      </c>
      <c r="I10" s="70">
        <v>35</v>
      </c>
      <c r="J10" s="72">
        <f t="shared" si="0"/>
        <v>29811.599999999999</v>
      </c>
      <c r="K10" s="72">
        <v>33.159999999999997</v>
      </c>
      <c r="L10" s="70">
        <v>35</v>
      </c>
      <c r="M10" s="72">
        <f t="shared" si="1"/>
        <v>30175.599999999999</v>
      </c>
      <c r="N10" s="28">
        <f t="shared" si="2"/>
        <v>59987.199999999997</v>
      </c>
      <c r="O10" s="28">
        <f t="shared" si="3"/>
        <v>1153.5999999999999</v>
      </c>
      <c r="P10" s="28">
        <f t="shared" si="4"/>
        <v>230.71999999999997</v>
      </c>
      <c r="Q10" s="28">
        <f t="shared" si="5"/>
        <v>3719.2063999999996</v>
      </c>
      <c r="R10" s="28">
        <f t="shared" si="6"/>
        <v>869.81439999999998</v>
      </c>
      <c r="S10" s="28">
        <f t="shared" si="7"/>
        <v>10047.856</v>
      </c>
      <c r="T10" s="28">
        <f t="shared" si="8"/>
        <v>18109</v>
      </c>
      <c r="U10" s="77">
        <f t="shared" si="9"/>
        <v>1509.0833333333333</v>
      </c>
      <c r="V10" s="28">
        <v>18109</v>
      </c>
      <c r="W10" s="110"/>
      <c r="X10" s="110"/>
      <c r="Y10" s="70">
        <v>10</v>
      </c>
      <c r="Z10" s="28">
        <f t="shared" si="10"/>
        <v>2307.1999999999998</v>
      </c>
      <c r="AA10" s="70">
        <v>10</v>
      </c>
      <c r="AB10" s="28">
        <f t="shared" si="11"/>
        <v>2307.1999999999998</v>
      </c>
      <c r="AC10" s="70">
        <v>4</v>
      </c>
      <c r="AD10" s="72">
        <f t="shared" si="12"/>
        <v>922.87999999999988</v>
      </c>
      <c r="AE10" s="73">
        <v>14</v>
      </c>
      <c r="AF10" s="28">
        <f t="shared" si="13"/>
        <v>3230.0799999999995</v>
      </c>
      <c r="AH10" s="27">
        <f t="shared" si="14"/>
        <v>95040.276799999992</v>
      </c>
    </row>
    <row r="11" spans="1:34" x14ac:dyDescent="0.25">
      <c r="A11" s="70" t="s">
        <v>610</v>
      </c>
      <c r="B11" s="70" t="s">
        <v>645</v>
      </c>
      <c r="C11" s="70" t="s">
        <v>646</v>
      </c>
      <c r="D11" s="70" t="s">
        <v>646</v>
      </c>
      <c r="E11" s="74" t="s">
        <v>523</v>
      </c>
      <c r="F11" s="71">
        <v>35475</v>
      </c>
      <c r="G11" s="70" t="s">
        <v>787</v>
      </c>
      <c r="H11" s="72">
        <v>32.76</v>
      </c>
      <c r="I11" s="70">
        <v>35</v>
      </c>
      <c r="J11" s="72">
        <f t="shared" si="0"/>
        <v>29811.599999999999</v>
      </c>
      <c r="K11" s="72">
        <v>33.159999999999997</v>
      </c>
      <c r="L11" s="70">
        <v>35</v>
      </c>
      <c r="M11" s="72">
        <f t="shared" si="1"/>
        <v>30175.599999999999</v>
      </c>
      <c r="N11" s="28">
        <f t="shared" si="2"/>
        <v>59987.199999999997</v>
      </c>
      <c r="O11" s="28">
        <f t="shared" si="3"/>
        <v>1153.5999999999999</v>
      </c>
      <c r="P11" s="28">
        <f t="shared" si="4"/>
        <v>230.71999999999997</v>
      </c>
      <c r="Q11" s="28">
        <f t="shared" si="5"/>
        <v>3719.2063999999996</v>
      </c>
      <c r="R11" s="28">
        <f t="shared" si="6"/>
        <v>869.81439999999998</v>
      </c>
      <c r="S11" s="28">
        <f t="shared" si="7"/>
        <v>10047.856</v>
      </c>
      <c r="T11" s="28">
        <f t="shared" si="8"/>
        <v>18109</v>
      </c>
      <c r="U11" s="77">
        <f t="shared" si="9"/>
        <v>1509.0833333333333</v>
      </c>
      <c r="V11" s="28">
        <v>18109</v>
      </c>
      <c r="W11" s="110"/>
      <c r="X11" s="110"/>
      <c r="Y11" s="70">
        <v>15</v>
      </c>
      <c r="Z11" s="28">
        <f t="shared" si="10"/>
        <v>3460.7999999999997</v>
      </c>
      <c r="AA11" s="70">
        <v>25</v>
      </c>
      <c r="AB11" s="28">
        <f t="shared" si="11"/>
        <v>5767.9999999999991</v>
      </c>
      <c r="AC11" s="70">
        <v>4</v>
      </c>
      <c r="AD11" s="72">
        <f t="shared" si="12"/>
        <v>922.87999999999988</v>
      </c>
      <c r="AE11" s="73">
        <v>14</v>
      </c>
      <c r="AF11" s="28">
        <f t="shared" si="13"/>
        <v>3230.0799999999995</v>
      </c>
      <c r="AH11" s="27">
        <f t="shared" si="14"/>
        <v>96193.876799999998</v>
      </c>
    </row>
    <row r="12" spans="1:34" x14ac:dyDescent="0.25">
      <c r="A12" s="70" t="s">
        <v>781</v>
      </c>
      <c r="B12" s="70" t="s">
        <v>782</v>
      </c>
      <c r="C12" s="70" t="s">
        <v>646</v>
      </c>
      <c r="D12" s="70" t="s">
        <v>646</v>
      </c>
      <c r="E12" s="74" t="s">
        <v>523</v>
      </c>
      <c r="F12" s="71">
        <v>44088</v>
      </c>
      <c r="G12" s="70" t="s">
        <v>788</v>
      </c>
      <c r="H12" s="72">
        <v>27.92</v>
      </c>
      <c r="I12" s="70">
        <v>35</v>
      </c>
      <c r="J12" s="72">
        <f t="shared" si="0"/>
        <v>25407.200000000001</v>
      </c>
      <c r="K12" s="72">
        <v>29.89</v>
      </c>
      <c r="L12" s="70">
        <v>35</v>
      </c>
      <c r="M12" s="72">
        <f t="shared" si="1"/>
        <v>27199.9</v>
      </c>
      <c r="N12" s="28">
        <f t="shared" si="2"/>
        <v>52607.100000000006</v>
      </c>
      <c r="O12" s="28">
        <f t="shared" si="3"/>
        <v>1011.6750000000001</v>
      </c>
      <c r="P12" s="28">
        <f t="shared" si="4"/>
        <v>202.33500000000001</v>
      </c>
      <c r="Q12" s="28">
        <f t="shared" si="5"/>
        <v>3261.6402000000003</v>
      </c>
      <c r="R12" s="28">
        <f t="shared" si="6"/>
        <v>762.80295000000012</v>
      </c>
      <c r="S12" s="28">
        <f t="shared" si="7"/>
        <v>8811.6892500000013</v>
      </c>
      <c r="T12" s="28">
        <f t="shared" si="8"/>
        <v>18109</v>
      </c>
      <c r="U12" s="77">
        <f t="shared" si="9"/>
        <v>1509.0833333333333</v>
      </c>
      <c r="V12" s="28">
        <v>18109</v>
      </c>
      <c r="W12" s="110"/>
      <c r="X12" s="110"/>
      <c r="Y12" s="70">
        <v>10</v>
      </c>
      <c r="Z12" s="28">
        <f t="shared" si="10"/>
        <v>2023.3500000000001</v>
      </c>
      <c r="AA12" s="70">
        <v>10</v>
      </c>
      <c r="AB12" s="28">
        <f t="shared" si="11"/>
        <v>2023.3500000000001</v>
      </c>
      <c r="AC12" s="70">
        <v>4</v>
      </c>
      <c r="AD12" s="72">
        <f t="shared" si="12"/>
        <v>809.34</v>
      </c>
      <c r="AE12" s="73">
        <v>14</v>
      </c>
      <c r="AF12" s="28">
        <f t="shared" si="13"/>
        <v>2832.69</v>
      </c>
      <c r="AH12" s="27">
        <f t="shared" si="14"/>
        <v>85575.582400000014</v>
      </c>
    </row>
    <row r="13" spans="1:34" x14ac:dyDescent="0.25">
      <c r="A13" s="88" t="s">
        <v>729</v>
      </c>
      <c r="B13" s="70" t="s">
        <v>730</v>
      </c>
      <c r="C13" s="70" t="s">
        <v>609</v>
      </c>
      <c r="D13" s="70" t="s">
        <v>802</v>
      </c>
      <c r="E13" s="74" t="s">
        <v>523</v>
      </c>
      <c r="F13" s="71">
        <v>34486</v>
      </c>
      <c r="G13" s="70" t="s">
        <v>796</v>
      </c>
      <c r="H13" s="72">
        <v>28.9</v>
      </c>
      <c r="I13" s="70">
        <v>40</v>
      </c>
      <c r="J13" s="72">
        <f t="shared" si="0"/>
        <v>30056</v>
      </c>
      <c r="K13" s="72">
        <v>28.9</v>
      </c>
      <c r="L13" s="70">
        <v>40</v>
      </c>
      <c r="M13" s="72">
        <f t="shared" si="1"/>
        <v>30056</v>
      </c>
      <c r="N13" s="28">
        <f t="shared" si="2"/>
        <v>60112</v>
      </c>
      <c r="O13" s="28">
        <f t="shared" si="3"/>
        <v>1156</v>
      </c>
      <c r="P13" s="28">
        <f t="shared" si="4"/>
        <v>231.2</v>
      </c>
      <c r="Q13" s="28">
        <f t="shared" si="5"/>
        <v>3726.944</v>
      </c>
      <c r="R13" s="28">
        <f t="shared" si="6"/>
        <v>871.62400000000002</v>
      </c>
      <c r="S13" s="28">
        <f t="shared" si="7"/>
        <v>10068.76</v>
      </c>
      <c r="T13" s="28">
        <f t="shared" ref="T13:T33" si="15">+(40*52*9.95)</f>
        <v>20696</v>
      </c>
      <c r="U13" s="77">
        <f t="shared" si="9"/>
        <v>1724.6666666666667</v>
      </c>
      <c r="V13" s="28">
        <f t="shared" ref="V13:V33" si="16">+(40*52*9.95)</f>
        <v>20696</v>
      </c>
      <c r="W13" s="110"/>
      <c r="X13" s="110"/>
      <c r="Y13" s="70">
        <v>13</v>
      </c>
      <c r="Z13" s="77">
        <f t="shared" si="10"/>
        <v>3005.6</v>
      </c>
      <c r="AA13" s="70">
        <v>25</v>
      </c>
      <c r="AB13" s="28">
        <f t="shared" si="11"/>
        <v>5780</v>
      </c>
      <c r="AC13" s="70">
        <v>4</v>
      </c>
      <c r="AD13" s="72">
        <f t="shared" si="12"/>
        <v>924.8</v>
      </c>
      <c r="AE13" s="73">
        <v>13</v>
      </c>
      <c r="AF13" s="28">
        <f t="shared" si="13"/>
        <v>3005.6</v>
      </c>
      <c r="AH13" s="27">
        <f t="shared" si="14"/>
        <v>98480.928000000014</v>
      </c>
    </row>
    <row r="14" spans="1:34" x14ac:dyDescent="0.25">
      <c r="A14" s="88" t="s">
        <v>733</v>
      </c>
      <c r="B14" s="70" t="s">
        <v>709</v>
      </c>
      <c r="C14" s="70" t="s">
        <v>609</v>
      </c>
      <c r="D14" s="70" t="s">
        <v>803</v>
      </c>
      <c r="E14" s="74" t="s">
        <v>523</v>
      </c>
      <c r="F14" s="71">
        <v>36543</v>
      </c>
      <c r="G14" s="70" t="s">
        <v>796</v>
      </c>
      <c r="H14" s="72">
        <v>28.9</v>
      </c>
      <c r="I14" s="70">
        <v>40</v>
      </c>
      <c r="J14" s="72">
        <f t="shared" si="0"/>
        <v>30056</v>
      </c>
      <c r="K14" s="72">
        <v>28.9</v>
      </c>
      <c r="L14" s="70">
        <v>40</v>
      </c>
      <c r="M14" s="72">
        <f t="shared" si="1"/>
        <v>30056</v>
      </c>
      <c r="N14" s="28">
        <f t="shared" si="2"/>
        <v>60112</v>
      </c>
      <c r="O14" s="28">
        <f t="shared" si="3"/>
        <v>1156</v>
      </c>
      <c r="P14" s="28">
        <f t="shared" si="4"/>
        <v>231.2</v>
      </c>
      <c r="Q14" s="28">
        <f t="shared" si="5"/>
        <v>3726.944</v>
      </c>
      <c r="R14" s="28">
        <f t="shared" si="6"/>
        <v>871.62400000000002</v>
      </c>
      <c r="S14" s="28">
        <f t="shared" si="7"/>
        <v>10068.76</v>
      </c>
      <c r="T14" s="28">
        <f t="shared" si="15"/>
        <v>20696</v>
      </c>
      <c r="U14" s="77">
        <f t="shared" si="9"/>
        <v>1724.6666666666667</v>
      </c>
      <c r="V14" s="28">
        <f t="shared" si="16"/>
        <v>20696</v>
      </c>
      <c r="W14" s="110"/>
      <c r="X14" s="110"/>
      <c r="Y14" s="70">
        <v>13</v>
      </c>
      <c r="Z14" s="77">
        <f t="shared" si="10"/>
        <v>3005.6</v>
      </c>
      <c r="AA14" s="70">
        <v>25</v>
      </c>
      <c r="AB14" s="28">
        <f t="shared" si="11"/>
        <v>5780</v>
      </c>
      <c r="AC14" s="70">
        <v>4</v>
      </c>
      <c r="AD14" s="72">
        <f t="shared" si="12"/>
        <v>924.8</v>
      </c>
      <c r="AE14" s="73">
        <v>13</v>
      </c>
      <c r="AF14" s="28">
        <f t="shared" si="13"/>
        <v>3005.6</v>
      </c>
      <c r="AH14" s="27">
        <f t="shared" si="14"/>
        <v>98480.928000000014</v>
      </c>
    </row>
    <row r="15" spans="1:34" x14ac:dyDescent="0.25">
      <c r="A15" s="88" t="s">
        <v>734</v>
      </c>
      <c r="B15" s="70" t="s">
        <v>735</v>
      </c>
      <c r="C15" s="70" t="s">
        <v>609</v>
      </c>
      <c r="D15" s="70" t="s">
        <v>791</v>
      </c>
      <c r="E15" s="74" t="s">
        <v>523</v>
      </c>
      <c r="F15" s="71">
        <v>39225</v>
      </c>
      <c r="G15" s="70" t="s">
        <v>792</v>
      </c>
      <c r="H15" s="72">
        <v>27.96</v>
      </c>
      <c r="I15" s="70">
        <v>40</v>
      </c>
      <c r="J15" s="72">
        <f t="shared" si="0"/>
        <v>29078.400000000001</v>
      </c>
      <c r="K15" s="72">
        <v>27.96</v>
      </c>
      <c r="L15" s="70">
        <v>40</v>
      </c>
      <c r="M15" s="72">
        <f t="shared" si="1"/>
        <v>29078.400000000001</v>
      </c>
      <c r="N15" s="28">
        <f t="shared" si="2"/>
        <v>58156.800000000003</v>
      </c>
      <c r="O15" s="28">
        <f t="shared" si="3"/>
        <v>1118.4000000000001</v>
      </c>
      <c r="P15" s="28">
        <f t="shared" si="4"/>
        <v>223.68</v>
      </c>
      <c r="Q15" s="28">
        <f t="shared" si="5"/>
        <v>3605.7216000000003</v>
      </c>
      <c r="R15" s="28">
        <f t="shared" si="6"/>
        <v>843.2736000000001</v>
      </c>
      <c r="S15" s="28">
        <f t="shared" si="7"/>
        <v>9741.264000000001</v>
      </c>
      <c r="T15" s="28">
        <f t="shared" si="15"/>
        <v>20696</v>
      </c>
      <c r="U15" s="77">
        <f t="shared" si="9"/>
        <v>1724.6666666666667</v>
      </c>
      <c r="V15" s="28">
        <f t="shared" si="16"/>
        <v>20696</v>
      </c>
      <c r="W15" s="110"/>
      <c r="X15" s="110"/>
      <c r="Y15" s="70">
        <v>13</v>
      </c>
      <c r="Z15" s="77">
        <f t="shared" si="10"/>
        <v>2907.84</v>
      </c>
      <c r="AA15" s="70">
        <v>21</v>
      </c>
      <c r="AB15" s="28">
        <f t="shared" si="11"/>
        <v>4697.28</v>
      </c>
      <c r="AC15" s="70">
        <v>4</v>
      </c>
      <c r="AD15" s="72">
        <f t="shared" si="12"/>
        <v>894.72</v>
      </c>
      <c r="AE15" s="73">
        <v>13</v>
      </c>
      <c r="AF15" s="28">
        <f t="shared" si="13"/>
        <v>2907.84</v>
      </c>
      <c r="AH15" s="27">
        <f t="shared" si="14"/>
        <v>95950.8992</v>
      </c>
    </row>
    <row r="16" spans="1:34" x14ac:dyDescent="0.25">
      <c r="A16" s="88" t="s">
        <v>737</v>
      </c>
      <c r="B16" s="70" t="s">
        <v>709</v>
      </c>
      <c r="C16" s="70" t="s">
        <v>609</v>
      </c>
      <c r="D16" s="70" t="s">
        <v>791</v>
      </c>
      <c r="E16" s="74" t="s">
        <v>523</v>
      </c>
      <c r="F16" s="71">
        <v>38244</v>
      </c>
      <c r="G16" s="70" t="s">
        <v>792</v>
      </c>
      <c r="H16" s="72">
        <v>27.96</v>
      </c>
      <c r="I16" s="70">
        <v>40</v>
      </c>
      <c r="J16" s="72">
        <f t="shared" si="0"/>
        <v>29078.400000000001</v>
      </c>
      <c r="K16" s="72">
        <v>27.96</v>
      </c>
      <c r="L16" s="70">
        <v>40</v>
      </c>
      <c r="M16" s="72">
        <f t="shared" si="1"/>
        <v>29078.400000000001</v>
      </c>
      <c r="N16" s="28">
        <f t="shared" si="2"/>
        <v>58156.800000000003</v>
      </c>
      <c r="O16" s="28">
        <f t="shared" si="3"/>
        <v>1118.4000000000001</v>
      </c>
      <c r="P16" s="28">
        <f t="shared" si="4"/>
        <v>223.68</v>
      </c>
      <c r="Q16" s="28">
        <f t="shared" si="5"/>
        <v>3605.7216000000003</v>
      </c>
      <c r="R16" s="28">
        <f t="shared" si="6"/>
        <v>843.2736000000001</v>
      </c>
      <c r="S16" s="28">
        <f t="shared" si="7"/>
        <v>9741.264000000001</v>
      </c>
      <c r="T16" s="28">
        <f t="shared" si="15"/>
        <v>20696</v>
      </c>
      <c r="U16" s="77">
        <f t="shared" si="9"/>
        <v>1724.6666666666667</v>
      </c>
      <c r="V16" s="28">
        <f t="shared" si="16"/>
        <v>20696</v>
      </c>
      <c r="W16" s="110"/>
      <c r="X16" s="110"/>
      <c r="Y16" s="70">
        <v>13</v>
      </c>
      <c r="Z16" s="77">
        <f t="shared" si="10"/>
        <v>2907.84</v>
      </c>
      <c r="AA16" s="70">
        <v>23</v>
      </c>
      <c r="AB16" s="28">
        <f t="shared" si="11"/>
        <v>5144.6400000000003</v>
      </c>
      <c r="AC16" s="70">
        <v>4</v>
      </c>
      <c r="AD16" s="72">
        <f t="shared" si="12"/>
        <v>894.72</v>
      </c>
      <c r="AE16" s="73">
        <v>13</v>
      </c>
      <c r="AF16" s="28">
        <f t="shared" si="13"/>
        <v>2907.84</v>
      </c>
      <c r="AH16" s="27">
        <f t="shared" si="14"/>
        <v>95950.8992</v>
      </c>
    </row>
    <row r="17" spans="1:36" x14ac:dyDescent="0.25">
      <c r="A17" s="88" t="s">
        <v>738</v>
      </c>
      <c r="B17" s="70" t="s">
        <v>678</v>
      </c>
      <c r="C17" s="70" t="s">
        <v>609</v>
      </c>
      <c r="D17" s="70" t="s">
        <v>801</v>
      </c>
      <c r="E17" s="74" t="s">
        <v>523</v>
      </c>
      <c r="F17" s="71">
        <v>42408</v>
      </c>
      <c r="G17" s="70" t="s">
        <v>800</v>
      </c>
      <c r="H17" s="72">
        <v>30.28</v>
      </c>
      <c r="I17" s="70">
        <v>40</v>
      </c>
      <c r="J17" s="72">
        <f t="shared" si="0"/>
        <v>31491.200000000001</v>
      </c>
      <c r="K17" s="72">
        <v>30.28</v>
      </c>
      <c r="L17" s="70">
        <v>35</v>
      </c>
      <c r="M17" s="72">
        <f t="shared" si="1"/>
        <v>27554.799999999999</v>
      </c>
      <c r="N17" s="28">
        <f t="shared" si="2"/>
        <v>59046</v>
      </c>
      <c r="O17" s="28">
        <f t="shared" si="3"/>
        <v>1135.5</v>
      </c>
      <c r="P17" s="28">
        <f t="shared" si="4"/>
        <v>227.1</v>
      </c>
      <c r="Q17" s="28">
        <f t="shared" si="5"/>
        <v>3660.8519999999999</v>
      </c>
      <c r="R17" s="28">
        <f t="shared" si="6"/>
        <v>856.16700000000003</v>
      </c>
      <c r="S17" s="28">
        <f t="shared" si="7"/>
        <v>9890.2049999999999</v>
      </c>
      <c r="T17" s="28">
        <f t="shared" si="15"/>
        <v>20696</v>
      </c>
      <c r="U17" s="77">
        <f t="shared" si="9"/>
        <v>1724.6666666666667</v>
      </c>
      <c r="V17" s="28">
        <f t="shared" si="16"/>
        <v>20696</v>
      </c>
      <c r="W17" s="110"/>
      <c r="X17" s="110"/>
      <c r="Y17" s="70">
        <v>13</v>
      </c>
      <c r="Z17" s="77">
        <f t="shared" si="10"/>
        <v>2952.2999999999997</v>
      </c>
      <c r="AA17" s="70">
        <v>15</v>
      </c>
      <c r="AB17" s="28">
        <f t="shared" si="11"/>
        <v>3406.5</v>
      </c>
      <c r="AC17" s="70">
        <v>4</v>
      </c>
      <c r="AD17" s="72">
        <f t="shared" si="12"/>
        <v>908.4</v>
      </c>
      <c r="AE17" s="73">
        <v>13</v>
      </c>
      <c r="AF17" s="28">
        <f t="shared" si="13"/>
        <v>2952.2999999999997</v>
      </c>
      <c r="AH17" s="27">
        <f t="shared" si="14"/>
        <v>97101.524000000005</v>
      </c>
    </row>
    <row r="18" spans="1:36" x14ac:dyDescent="0.25">
      <c r="A18" s="88" t="s">
        <v>739</v>
      </c>
      <c r="B18" s="70" t="s">
        <v>545</v>
      </c>
      <c r="C18" s="70" t="s">
        <v>609</v>
      </c>
      <c r="D18" s="70" t="s">
        <v>801</v>
      </c>
      <c r="E18" s="74" t="s">
        <v>523</v>
      </c>
      <c r="F18" s="71">
        <v>39335</v>
      </c>
      <c r="G18" s="70" t="s">
        <v>800</v>
      </c>
      <c r="H18" s="72">
        <v>30.28</v>
      </c>
      <c r="I18" s="70">
        <v>40</v>
      </c>
      <c r="J18" s="72">
        <f t="shared" si="0"/>
        <v>31491.200000000001</v>
      </c>
      <c r="K18" s="72">
        <v>30.28</v>
      </c>
      <c r="L18" s="70">
        <v>35</v>
      </c>
      <c r="M18" s="72">
        <f t="shared" si="1"/>
        <v>27554.799999999999</v>
      </c>
      <c r="N18" s="28">
        <f t="shared" si="2"/>
        <v>59046</v>
      </c>
      <c r="O18" s="28">
        <f t="shared" si="3"/>
        <v>1135.5</v>
      </c>
      <c r="P18" s="28">
        <f t="shared" si="4"/>
        <v>227.1</v>
      </c>
      <c r="Q18" s="28">
        <f t="shared" si="5"/>
        <v>3660.8519999999999</v>
      </c>
      <c r="R18" s="28">
        <f t="shared" si="6"/>
        <v>856.16700000000003</v>
      </c>
      <c r="S18" s="28">
        <f t="shared" si="7"/>
        <v>9890.2049999999999</v>
      </c>
      <c r="T18" s="28">
        <f t="shared" si="15"/>
        <v>20696</v>
      </c>
      <c r="U18" s="77">
        <f t="shared" si="9"/>
        <v>1724.6666666666667</v>
      </c>
      <c r="V18" s="28">
        <f t="shared" si="16"/>
        <v>20696</v>
      </c>
      <c r="W18" s="110"/>
      <c r="X18" s="110"/>
      <c r="Y18" s="70">
        <v>13</v>
      </c>
      <c r="Z18" s="77">
        <f t="shared" si="10"/>
        <v>2952.2999999999997</v>
      </c>
      <c r="AA18" s="70">
        <v>22</v>
      </c>
      <c r="AB18" s="28">
        <f t="shared" si="11"/>
        <v>4996.2</v>
      </c>
      <c r="AC18" s="70">
        <v>4</v>
      </c>
      <c r="AD18" s="72">
        <f t="shared" si="12"/>
        <v>908.4</v>
      </c>
      <c r="AE18" s="73">
        <v>13</v>
      </c>
      <c r="AF18" s="28">
        <f t="shared" si="13"/>
        <v>2952.2999999999997</v>
      </c>
      <c r="AH18" s="27">
        <f t="shared" si="14"/>
        <v>97101.524000000005</v>
      </c>
    </row>
    <row r="19" spans="1:36" x14ac:dyDescent="0.25">
      <c r="A19" s="88" t="s">
        <v>740</v>
      </c>
      <c r="B19" s="70" t="s">
        <v>741</v>
      </c>
      <c r="C19" s="70" t="s">
        <v>609</v>
      </c>
      <c r="D19" s="70" t="s">
        <v>791</v>
      </c>
      <c r="E19" s="74" t="s">
        <v>523</v>
      </c>
      <c r="F19" s="71">
        <v>42136</v>
      </c>
      <c r="G19" s="70" t="s">
        <v>792</v>
      </c>
      <c r="H19" s="72">
        <v>27.96</v>
      </c>
      <c r="I19" s="70">
        <v>40</v>
      </c>
      <c r="J19" s="72">
        <f t="shared" si="0"/>
        <v>29078.400000000001</v>
      </c>
      <c r="K19" s="72">
        <v>27.96</v>
      </c>
      <c r="L19" s="70">
        <v>40</v>
      </c>
      <c r="M19" s="72">
        <f t="shared" si="1"/>
        <v>29078.400000000001</v>
      </c>
      <c r="N19" s="28">
        <f t="shared" si="2"/>
        <v>58156.800000000003</v>
      </c>
      <c r="O19" s="28">
        <f t="shared" si="3"/>
        <v>1118.4000000000001</v>
      </c>
      <c r="P19" s="28">
        <f t="shared" si="4"/>
        <v>223.68</v>
      </c>
      <c r="Q19" s="28">
        <f t="shared" si="5"/>
        <v>3605.7216000000003</v>
      </c>
      <c r="R19" s="28">
        <f t="shared" si="6"/>
        <v>843.2736000000001</v>
      </c>
      <c r="S19" s="28">
        <f t="shared" si="7"/>
        <v>9741.264000000001</v>
      </c>
      <c r="T19" s="28">
        <f t="shared" si="15"/>
        <v>20696</v>
      </c>
      <c r="U19" s="77">
        <f t="shared" si="9"/>
        <v>1724.6666666666667</v>
      </c>
      <c r="V19" s="28">
        <f t="shared" si="16"/>
        <v>20696</v>
      </c>
      <c r="W19" s="110"/>
      <c r="X19" s="110"/>
      <c r="Y19" s="70">
        <v>13</v>
      </c>
      <c r="Z19" s="77">
        <f t="shared" si="10"/>
        <v>2907.84</v>
      </c>
      <c r="AA19" s="70">
        <v>15</v>
      </c>
      <c r="AB19" s="28">
        <f t="shared" si="11"/>
        <v>3355.2000000000003</v>
      </c>
      <c r="AC19" s="70">
        <v>4</v>
      </c>
      <c r="AD19" s="72">
        <f t="shared" si="12"/>
        <v>894.72</v>
      </c>
      <c r="AE19" s="73">
        <v>13</v>
      </c>
      <c r="AF19" s="28">
        <f t="shared" si="13"/>
        <v>2907.84</v>
      </c>
      <c r="AH19" s="27">
        <f t="shared" si="14"/>
        <v>95950.8992</v>
      </c>
    </row>
    <row r="20" spans="1:36" x14ac:dyDescent="0.25">
      <c r="A20" s="88" t="s">
        <v>742</v>
      </c>
      <c r="B20" s="70" t="s">
        <v>629</v>
      </c>
      <c r="C20" s="70" t="s">
        <v>609</v>
      </c>
      <c r="D20" s="70" t="s">
        <v>795</v>
      </c>
      <c r="E20" s="74" t="s">
        <v>523</v>
      </c>
      <c r="F20" s="71">
        <v>37404</v>
      </c>
      <c r="G20" s="70" t="s">
        <v>804</v>
      </c>
      <c r="H20" s="72">
        <v>29.52</v>
      </c>
      <c r="I20" s="70">
        <v>40</v>
      </c>
      <c r="J20" s="72">
        <f t="shared" si="0"/>
        <v>30700.799999999999</v>
      </c>
      <c r="K20" s="72">
        <v>29.52</v>
      </c>
      <c r="L20" s="70">
        <v>40</v>
      </c>
      <c r="M20" s="72">
        <f t="shared" si="1"/>
        <v>30700.799999999999</v>
      </c>
      <c r="N20" s="28">
        <f t="shared" si="2"/>
        <v>61401.599999999999</v>
      </c>
      <c r="O20" s="28">
        <f t="shared" si="3"/>
        <v>1180.8</v>
      </c>
      <c r="P20" s="28">
        <f t="shared" si="4"/>
        <v>236.16</v>
      </c>
      <c r="Q20" s="28">
        <f t="shared" si="5"/>
        <v>3806.8991999999998</v>
      </c>
      <c r="R20" s="28">
        <f t="shared" si="6"/>
        <v>890.32320000000004</v>
      </c>
      <c r="S20" s="28">
        <f t="shared" si="7"/>
        <v>10284.768</v>
      </c>
      <c r="T20" s="28">
        <f t="shared" si="15"/>
        <v>20696</v>
      </c>
      <c r="U20" s="77">
        <f t="shared" si="9"/>
        <v>1724.6666666666667</v>
      </c>
      <c r="V20" s="28">
        <f t="shared" si="16"/>
        <v>20696</v>
      </c>
      <c r="W20" s="110"/>
      <c r="X20" s="110"/>
      <c r="Y20" s="70">
        <v>13</v>
      </c>
      <c r="Z20" s="77">
        <f t="shared" si="10"/>
        <v>3070.08</v>
      </c>
      <c r="AA20" s="70">
        <v>20</v>
      </c>
      <c r="AB20" s="28">
        <f t="shared" si="11"/>
        <v>4723.2</v>
      </c>
      <c r="AC20" s="70">
        <v>4</v>
      </c>
      <c r="AD20" s="72">
        <f t="shared" si="12"/>
        <v>944.64</v>
      </c>
      <c r="AE20" s="73">
        <v>13</v>
      </c>
      <c r="AF20" s="28">
        <f t="shared" si="13"/>
        <v>3070.08</v>
      </c>
      <c r="AH20" s="27">
        <f t="shared" si="14"/>
        <v>100149.6704</v>
      </c>
    </row>
    <row r="21" spans="1:36" x14ac:dyDescent="0.25">
      <c r="A21" s="88" t="s">
        <v>743</v>
      </c>
      <c r="B21" s="70" t="s">
        <v>670</v>
      </c>
      <c r="C21" s="70" t="s">
        <v>609</v>
      </c>
      <c r="D21" s="70" t="s">
        <v>801</v>
      </c>
      <c r="E21" s="74" t="s">
        <v>523</v>
      </c>
      <c r="F21" s="71">
        <v>35889</v>
      </c>
      <c r="G21" s="70" t="s">
        <v>800</v>
      </c>
      <c r="H21" s="72">
        <v>30.28</v>
      </c>
      <c r="I21" s="70">
        <v>40</v>
      </c>
      <c r="J21" s="72">
        <f t="shared" si="0"/>
        <v>31491.200000000001</v>
      </c>
      <c r="K21" s="72">
        <v>30.28</v>
      </c>
      <c r="L21" s="70">
        <v>35</v>
      </c>
      <c r="M21" s="72">
        <f t="shared" si="1"/>
        <v>27554.799999999999</v>
      </c>
      <c r="N21" s="28">
        <f t="shared" si="2"/>
        <v>59046</v>
      </c>
      <c r="O21" s="28">
        <f t="shared" si="3"/>
        <v>1135.5</v>
      </c>
      <c r="P21" s="28">
        <f t="shared" si="4"/>
        <v>227.1</v>
      </c>
      <c r="Q21" s="28">
        <f t="shared" si="5"/>
        <v>3660.8519999999999</v>
      </c>
      <c r="R21" s="28">
        <f t="shared" si="6"/>
        <v>856.16700000000003</v>
      </c>
      <c r="S21" s="28">
        <f t="shared" si="7"/>
        <v>9890.2049999999999</v>
      </c>
      <c r="T21" s="28">
        <f t="shared" si="15"/>
        <v>20696</v>
      </c>
      <c r="U21" s="77">
        <f t="shared" si="9"/>
        <v>1724.6666666666667</v>
      </c>
      <c r="V21" s="28">
        <f t="shared" si="16"/>
        <v>20696</v>
      </c>
      <c r="W21" s="110"/>
      <c r="X21" s="110"/>
      <c r="Y21" s="70">
        <v>13</v>
      </c>
      <c r="Z21" s="77">
        <f t="shared" si="10"/>
        <v>2952.2999999999997</v>
      </c>
      <c r="AA21" s="70">
        <v>25</v>
      </c>
      <c r="AB21" s="28">
        <f t="shared" si="11"/>
        <v>5677.5</v>
      </c>
      <c r="AC21" s="70">
        <v>4</v>
      </c>
      <c r="AD21" s="72">
        <f t="shared" si="12"/>
        <v>908.4</v>
      </c>
      <c r="AE21" s="73">
        <v>13</v>
      </c>
      <c r="AF21" s="28">
        <f t="shared" si="13"/>
        <v>2952.2999999999997</v>
      </c>
      <c r="AH21" s="27">
        <f t="shared" si="14"/>
        <v>97101.524000000005</v>
      </c>
    </row>
    <row r="22" spans="1:36" x14ac:dyDescent="0.25">
      <c r="A22" s="88" t="s">
        <v>615</v>
      </c>
      <c r="B22" s="70" t="s">
        <v>569</v>
      </c>
      <c r="C22" s="70" t="s">
        <v>609</v>
      </c>
      <c r="D22" s="70" t="s">
        <v>616</v>
      </c>
      <c r="E22" s="70" t="s">
        <v>523</v>
      </c>
      <c r="F22" s="75">
        <v>38383</v>
      </c>
      <c r="G22" s="70" t="s">
        <v>797</v>
      </c>
      <c r="H22" s="72">
        <v>27.95</v>
      </c>
      <c r="I22" s="70">
        <v>40</v>
      </c>
      <c r="J22" s="72">
        <f t="shared" si="0"/>
        <v>29068</v>
      </c>
      <c r="K22" s="72">
        <v>27.95</v>
      </c>
      <c r="L22" s="70">
        <v>35</v>
      </c>
      <c r="M22" s="72">
        <f t="shared" si="1"/>
        <v>25434.5</v>
      </c>
      <c r="N22" s="28">
        <f t="shared" si="2"/>
        <v>54502.5</v>
      </c>
      <c r="O22" s="28">
        <f t="shared" si="3"/>
        <v>1048.125</v>
      </c>
      <c r="P22" s="28">
        <f t="shared" si="4"/>
        <v>209.625</v>
      </c>
      <c r="Q22" s="28">
        <f t="shared" si="5"/>
        <v>3379.1550000000002</v>
      </c>
      <c r="R22" s="28">
        <f t="shared" si="6"/>
        <v>790.28625</v>
      </c>
      <c r="S22" s="28">
        <f t="shared" si="7"/>
        <v>9129.1687500000007</v>
      </c>
      <c r="T22" s="28">
        <f t="shared" si="15"/>
        <v>20696</v>
      </c>
      <c r="U22" s="77">
        <f t="shared" si="9"/>
        <v>1724.6666666666667</v>
      </c>
      <c r="V22" s="28">
        <f t="shared" si="16"/>
        <v>20696</v>
      </c>
      <c r="W22" s="110"/>
      <c r="X22" s="110"/>
      <c r="Y22" s="70">
        <v>13</v>
      </c>
      <c r="Z22" s="77">
        <f t="shared" si="10"/>
        <v>2725.125</v>
      </c>
      <c r="AA22" s="70">
        <v>23</v>
      </c>
      <c r="AB22" s="28">
        <f t="shared" si="11"/>
        <v>4821.375</v>
      </c>
      <c r="AC22" s="70">
        <v>4</v>
      </c>
      <c r="AD22" s="72">
        <f t="shared" si="12"/>
        <v>838.5</v>
      </c>
      <c r="AE22" s="73">
        <v>13</v>
      </c>
      <c r="AF22" s="28">
        <f t="shared" si="13"/>
        <v>2725.125</v>
      </c>
      <c r="AH22" s="27">
        <f t="shared" si="14"/>
        <v>91222.235000000001</v>
      </c>
    </row>
    <row r="23" spans="1:36" x14ac:dyDescent="0.25">
      <c r="A23" s="88" t="s">
        <v>568</v>
      </c>
      <c r="B23" s="74" t="s">
        <v>569</v>
      </c>
      <c r="C23" s="70" t="s">
        <v>609</v>
      </c>
      <c r="D23" s="74" t="s">
        <v>570</v>
      </c>
      <c r="E23" s="74" t="s">
        <v>523</v>
      </c>
      <c r="F23" s="75">
        <v>42464</v>
      </c>
      <c r="G23" s="70" t="s">
        <v>810</v>
      </c>
      <c r="H23" s="72">
        <v>26.54</v>
      </c>
      <c r="I23" s="70">
        <v>40</v>
      </c>
      <c r="J23" s="72">
        <f t="shared" si="0"/>
        <v>27601.599999999999</v>
      </c>
      <c r="K23" s="72">
        <v>26.54</v>
      </c>
      <c r="L23" s="70">
        <v>35</v>
      </c>
      <c r="M23" s="72">
        <f t="shared" si="1"/>
        <v>24151.399999999998</v>
      </c>
      <c r="N23" s="28">
        <f t="shared" si="2"/>
        <v>51753</v>
      </c>
      <c r="O23" s="28">
        <f t="shared" si="3"/>
        <v>995.25</v>
      </c>
      <c r="P23" s="28">
        <f t="shared" si="4"/>
        <v>199.05</v>
      </c>
      <c r="Q23" s="28">
        <f t="shared" si="5"/>
        <v>3208.6860000000001</v>
      </c>
      <c r="R23" s="28">
        <f t="shared" si="6"/>
        <v>750.41849999999999</v>
      </c>
      <c r="S23" s="28">
        <f t="shared" si="7"/>
        <v>8668.6275000000005</v>
      </c>
      <c r="T23" s="28">
        <f t="shared" si="15"/>
        <v>20696</v>
      </c>
      <c r="U23" s="77">
        <f t="shared" si="9"/>
        <v>1724.6666666666667</v>
      </c>
      <c r="V23" s="28">
        <f t="shared" si="16"/>
        <v>20696</v>
      </c>
      <c r="W23" s="110"/>
      <c r="X23" s="110"/>
      <c r="Y23" s="70">
        <v>13</v>
      </c>
      <c r="Z23" s="77">
        <f t="shared" si="10"/>
        <v>2587.65</v>
      </c>
      <c r="AA23" s="70">
        <v>15</v>
      </c>
      <c r="AB23" s="28">
        <f t="shared" si="11"/>
        <v>2985.75</v>
      </c>
      <c r="AC23" s="70">
        <v>4</v>
      </c>
      <c r="AD23" s="72">
        <f t="shared" si="12"/>
        <v>796.2</v>
      </c>
      <c r="AE23" s="73">
        <v>13</v>
      </c>
      <c r="AF23" s="28">
        <f t="shared" si="13"/>
        <v>2587.65</v>
      </c>
      <c r="AH23" s="27">
        <f t="shared" si="14"/>
        <v>87664.382000000012</v>
      </c>
    </row>
    <row r="24" spans="1:36" x14ac:dyDescent="0.25">
      <c r="A24" s="88" t="s">
        <v>744</v>
      </c>
      <c r="B24" s="70" t="s">
        <v>745</v>
      </c>
      <c r="C24" s="70" t="s">
        <v>609</v>
      </c>
      <c r="D24" s="70" t="s">
        <v>791</v>
      </c>
      <c r="E24" s="74" t="s">
        <v>523</v>
      </c>
      <c r="F24" s="71">
        <v>40179</v>
      </c>
      <c r="G24" s="70" t="s">
        <v>792</v>
      </c>
      <c r="H24" s="72">
        <v>27.96</v>
      </c>
      <c r="I24" s="70">
        <v>40</v>
      </c>
      <c r="J24" s="72">
        <f t="shared" si="0"/>
        <v>29078.400000000001</v>
      </c>
      <c r="K24" s="72">
        <v>27.96</v>
      </c>
      <c r="L24" s="70">
        <v>40</v>
      </c>
      <c r="M24" s="72">
        <f t="shared" si="1"/>
        <v>29078.400000000001</v>
      </c>
      <c r="N24" s="28">
        <f t="shared" si="2"/>
        <v>58156.800000000003</v>
      </c>
      <c r="O24" s="28">
        <f t="shared" si="3"/>
        <v>1118.4000000000001</v>
      </c>
      <c r="P24" s="28">
        <f t="shared" si="4"/>
        <v>223.68</v>
      </c>
      <c r="Q24" s="28">
        <f t="shared" si="5"/>
        <v>3605.7216000000003</v>
      </c>
      <c r="R24" s="28">
        <f t="shared" si="6"/>
        <v>843.2736000000001</v>
      </c>
      <c r="S24" s="28">
        <f t="shared" si="7"/>
        <v>9741.264000000001</v>
      </c>
      <c r="T24" s="28">
        <f t="shared" si="15"/>
        <v>20696</v>
      </c>
      <c r="U24" s="77">
        <f t="shared" si="9"/>
        <v>1724.6666666666667</v>
      </c>
      <c r="V24" s="28">
        <f t="shared" si="16"/>
        <v>20696</v>
      </c>
      <c r="W24" s="110"/>
      <c r="X24" s="110"/>
      <c r="Y24" s="70">
        <v>13</v>
      </c>
      <c r="Z24" s="77">
        <f t="shared" si="10"/>
        <v>2907.84</v>
      </c>
      <c r="AA24" s="70">
        <v>20</v>
      </c>
      <c r="AB24" s="28">
        <f t="shared" si="11"/>
        <v>4473.6000000000004</v>
      </c>
      <c r="AC24" s="70">
        <v>4</v>
      </c>
      <c r="AD24" s="72">
        <f t="shared" si="12"/>
        <v>894.72</v>
      </c>
      <c r="AE24" s="73">
        <v>13</v>
      </c>
      <c r="AF24" s="28">
        <f t="shared" si="13"/>
        <v>2907.84</v>
      </c>
      <c r="AH24" s="27">
        <f t="shared" si="14"/>
        <v>95950.8992</v>
      </c>
    </row>
    <row r="25" spans="1:36" x14ac:dyDescent="0.25">
      <c r="A25" s="88" t="s">
        <v>746</v>
      </c>
      <c r="B25" s="70" t="s">
        <v>545</v>
      </c>
      <c r="C25" s="70" t="s">
        <v>609</v>
      </c>
      <c r="D25" s="70" t="s">
        <v>801</v>
      </c>
      <c r="E25" s="74" t="s">
        <v>523</v>
      </c>
      <c r="F25" s="71">
        <v>37578</v>
      </c>
      <c r="G25" s="70" t="s">
        <v>800</v>
      </c>
      <c r="H25" s="72">
        <v>30.28</v>
      </c>
      <c r="I25" s="70">
        <v>40</v>
      </c>
      <c r="J25" s="72">
        <f t="shared" si="0"/>
        <v>31491.200000000001</v>
      </c>
      <c r="K25" s="72">
        <v>30.28</v>
      </c>
      <c r="L25" s="70">
        <v>35</v>
      </c>
      <c r="M25" s="72">
        <f t="shared" si="1"/>
        <v>27554.799999999999</v>
      </c>
      <c r="N25" s="28">
        <f t="shared" si="2"/>
        <v>59046</v>
      </c>
      <c r="O25" s="28">
        <f t="shared" si="3"/>
        <v>1135.5</v>
      </c>
      <c r="P25" s="28">
        <f t="shared" si="4"/>
        <v>227.1</v>
      </c>
      <c r="Q25" s="28">
        <f t="shared" si="5"/>
        <v>3660.8519999999999</v>
      </c>
      <c r="R25" s="28">
        <f t="shared" si="6"/>
        <v>856.16700000000003</v>
      </c>
      <c r="S25" s="28">
        <f t="shared" si="7"/>
        <v>9890.2049999999999</v>
      </c>
      <c r="T25" s="28">
        <f t="shared" si="15"/>
        <v>20696</v>
      </c>
      <c r="U25" s="77">
        <f t="shared" si="9"/>
        <v>1724.6666666666667</v>
      </c>
      <c r="V25" s="28">
        <f t="shared" si="16"/>
        <v>20696</v>
      </c>
      <c r="W25" s="110"/>
      <c r="X25" s="110"/>
      <c r="Y25" s="70">
        <v>13</v>
      </c>
      <c r="Z25" s="77">
        <f t="shared" si="10"/>
        <v>2952.2999999999997</v>
      </c>
      <c r="AA25" s="70">
        <v>24</v>
      </c>
      <c r="AB25" s="28">
        <f t="shared" si="11"/>
        <v>5450.4</v>
      </c>
      <c r="AC25" s="70">
        <v>4</v>
      </c>
      <c r="AD25" s="72">
        <f t="shared" si="12"/>
        <v>908.4</v>
      </c>
      <c r="AE25" s="73">
        <v>13</v>
      </c>
      <c r="AF25" s="28">
        <f t="shared" si="13"/>
        <v>2952.2999999999997</v>
      </c>
      <c r="AH25" s="27">
        <f t="shared" si="14"/>
        <v>97101.524000000005</v>
      </c>
    </row>
    <row r="26" spans="1:36" s="8" customFormat="1" x14ac:dyDescent="0.25">
      <c r="A26" s="88" t="s">
        <v>747</v>
      </c>
      <c r="B26" s="70" t="s">
        <v>748</v>
      </c>
      <c r="C26" s="70" t="s">
        <v>609</v>
      </c>
      <c r="D26" s="70" t="s">
        <v>798</v>
      </c>
      <c r="E26" s="74" t="s">
        <v>523</v>
      </c>
      <c r="F26" s="71">
        <v>32671</v>
      </c>
      <c r="G26" s="70" t="s">
        <v>799</v>
      </c>
      <c r="H26" s="72">
        <v>37.01</v>
      </c>
      <c r="I26" s="70">
        <v>40</v>
      </c>
      <c r="J26" s="72">
        <f t="shared" si="0"/>
        <v>38490.399999999994</v>
      </c>
      <c r="K26" s="72">
        <v>37.01</v>
      </c>
      <c r="L26" s="70">
        <v>40</v>
      </c>
      <c r="M26" s="72">
        <f t="shared" si="1"/>
        <v>38490.399999999994</v>
      </c>
      <c r="N26" s="28">
        <f t="shared" si="2"/>
        <v>76980.799999999988</v>
      </c>
      <c r="O26" s="28">
        <f t="shared" si="3"/>
        <v>1480.3999999999999</v>
      </c>
      <c r="P26" s="28">
        <f t="shared" si="4"/>
        <v>296.08</v>
      </c>
      <c r="Q26" s="28">
        <f t="shared" si="5"/>
        <v>4772.8095999999996</v>
      </c>
      <c r="R26" s="28">
        <f t="shared" si="6"/>
        <v>1116.2215999999999</v>
      </c>
      <c r="S26" s="28">
        <f t="shared" si="7"/>
        <v>12894.284</v>
      </c>
      <c r="T26" s="28">
        <f t="shared" si="15"/>
        <v>20696</v>
      </c>
      <c r="U26" s="77">
        <f t="shared" si="9"/>
        <v>1724.6666666666667</v>
      </c>
      <c r="V26" s="28">
        <f t="shared" si="16"/>
        <v>20696</v>
      </c>
      <c r="W26" s="110"/>
      <c r="X26" s="110"/>
      <c r="Y26" s="70">
        <v>13</v>
      </c>
      <c r="Z26" s="77">
        <f t="shared" si="10"/>
        <v>3849.04</v>
      </c>
      <c r="AA26" s="70">
        <v>25</v>
      </c>
      <c r="AB26" s="28">
        <f t="shared" si="11"/>
        <v>7402</v>
      </c>
      <c r="AC26" s="70">
        <v>4</v>
      </c>
      <c r="AD26" s="72">
        <f t="shared" si="12"/>
        <v>1184.32</v>
      </c>
      <c r="AE26" s="73">
        <v>13</v>
      </c>
      <c r="AF26" s="28">
        <f t="shared" si="13"/>
        <v>3849.04</v>
      </c>
      <c r="AH26" s="67">
        <f t="shared" si="14"/>
        <v>120309.15519999998</v>
      </c>
    </row>
    <row r="27" spans="1:36" x14ac:dyDescent="0.25">
      <c r="A27" s="88" t="s">
        <v>749</v>
      </c>
      <c r="B27" s="70" t="s">
        <v>680</v>
      </c>
      <c r="C27" s="70" t="s">
        <v>609</v>
      </c>
      <c r="D27" s="70" t="s">
        <v>795</v>
      </c>
      <c r="E27" s="74" t="s">
        <v>523</v>
      </c>
      <c r="F27" s="71">
        <v>42513</v>
      </c>
      <c r="G27" s="70" t="s">
        <v>804</v>
      </c>
      <c r="H27" s="72">
        <v>29.52</v>
      </c>
      <c r="I27" s="70">
        <v>40</v>
      </c>
      <c r="J27" s="72">
        <f t="shared" si="0"/>
        <v>30700.799999999999</v>
      </c>
      <c r="K27" s="72">
        <v>29.52</v>
      </c>
      <c r="L27" s="70">
        <v>40</v>
      </c>
      <c r="M27" s="72">
        <f t="shared" si="1"/>
        <v>30700.799999999999</v>
      </c>
      <c r="N27" s="28">
        <f t="shared" si="2"/>
        <v>61401.599999999999</v>
      </c>
      <c r="O27" s="28">
        <f t="shared" si="3"/>
        <v>1180.8</v>
      </c>
      <c r="P27" s="28">
        <f t="shared" si="4"/>
        <v>236.16</v>
      </c>
      <c r="Q27" s="28">
        <f t="shared" si="5"/>
        <v>3806.8991999999998</v>
      </c>
      <c r="R27" s="28">
        <f t="shared" si="6"/>
        <v>890.32320000000004</v>
      </c>
      <c r="S27" s="28">
        <f t="shared" si="7"/>
        <v>10284.768</v>
      </c>
      <c r="T27" s="28">
        <f t="shared" si="15"/>
        <v>20696</v>
      </c>
      <c r="U27" s="77">
        <f t="shared" si="9"/>
        <v>1724.6666666666667</v>
      </c>
      <c r="V27" s="28">
        <f t="shared" si="16"/>
        <v>20696</v>
      </c>
      <c r="W27" s="110"/>
      <c r="X27" s="110"/>
      <c r="Y27" s="70">
        <v>13</v>
      </c>
      <c r="Z27" s="77">
        <f t="shared" si="10"/>
        <v>3070.08</v>
      </c>
      <c r="AA27" s="70">
        <v>15</v>
      </c>
      <c r="AB27" s="28">
        <f t="shared" si="11"/>
        <v>3542.4</v>
      </c>
      <c r="AC27" s="70">
        <v>4</v>
      </c>
      <c r="AD27" s="72">
        <f t="shared" si="12"/>
        <v>944.64</v>
      </c>
      <c r="AE27" s="73">
        <v>13</v>
      </c>
      <c r="AF27" s="28">
        <f t="shared" si="13"/>
        <v>3070.08</v>
      </c>
      <c r="AH27" s="27">
        <f t="shared" si="14"/>
        <v>100149.6704</v>
      </c>
    </row>
    <row r="28" spans="1:36" x14ac:dyDescent="0.25">
      <c r="A28" s="88" t="s">
        <v>750</v>
      </c>
      <c r="B28" s="70" t="s">
        <v>751</v>
      </c>
      <c r="C28" s="70" t="s">
        <v>609</v>
      </c>
      <c r="D28" s="70" t="s">
        <v>791</v>
      </c>
      <c r="E28" s="74" t="s">
        <v>523</v>
      </c>
      <c r="F28" s="71">
        <v>42863</v>
      </c>
      <c r="G28" s="70" t="s">
        <v>792</v>
      </c>
      <c r="H28" s="72">
        <v>27.96</v>
      </c>
      <c r="I28" s="70">
        <v>40</v>
      </c>
      <c r="J28" s="72">
        <f t="shared" si="0"/>
        <v>29078.400000000001</v>
      </c>
      <c r="K28" s="72">
        <v>27.96</v>
      </c>
      <c r="L28" s="70">
        <v>40</v>
      </c>
      <c r="M28" s="72">
        <f t="shared" si="1"/>
        <v>29078.400000000001</v>
      </c>
      <c r="N28" s="28">
        <f t="shared" si="2"/>
        <v>58156.800000000003</v>
      </c>
      <c r="O28" s="28">
        <f t="shared" si="3"/>
        <v>1118.4000000000001</v>
      </c>
      <c r="P28" s="28">
        <f t="shared" si="4"/>
        <v>223.68</v>
      </c>
      <c r="Q28" s="28">
        <f t="shared" si="5"/>
        <v>3605.7216000000003</v>
      </c>
      <c r="R28" s="28">
        <f t="shared" si="6"/>
        <v>843.2736000000001</v>
      </c>
      <c r="S28" s="28">
        <f t="shared" si="7"/>
        <v>9741.264000000001</v>
      </c>
      <c r="T28" s="28">
        <f t="shared" si="15"/>
        <v>20696</v>
      </c>
      <c r="U28" s="77">
        <f t="shared" si="9"/>
        <v>1724.6666666666667</v>
      </c>
      <c r="V28" s="28">
        <f t="shared" si="16"/>
        <v>20696</v>
      </c>
      <c r="W28" s="110"/>
      <c r="X28" s="110"/>
      <c r="Y28" s="70">
        <v>13</v>
      </c>
      <c r="Z28" s="77">
        <f t="shared" si="10"/>
        <v>2907.84</v>
      </c>
      <c r="AA28" s="70">
        <v>10</v>
      </c>
      <c r="AB28" s="28">
        <f t="shared" si="11"/>
        <v>2236.8000000000002</v>
      </c>
      <c r="AC28" s="70">
        <v>4</v>
      </c>
      <c r="AD28" s="72">
        <f t="shared" si="12"/>
        <v>894.72</v>
      </c>
      <c r="AE28" s="73">
        <v>13</v>
      </c>
      <c r="AF28" s="28">
        <f t="shared" si="13"/>
        <v>2907.84</v>
      </c>
      <c r="AH28" s="27">
        <f t="shared" si="14"/>
        <v>95950.8992</v>
      </c>
    </row>
    <row r="29" spans="1:36" x14ac:dyDescent="0.25">
      <c r="A29" s="88" t="s">
        <v>752</v>
      </c>
      <c r="B29" s="70" t="s">
        <v>753</v>
      </c>
      <c r="C29" s="70" t="s">
        <v>609</v>
      </c>
      <c r="D29" s="70" t="s">
        <v>794</v>
      </c>
      <c r="E29" s="74" t="s">
        <v>523</v>
      </c>
      <c r="F29" s="71">
        <v>38754</v>
      </c>
      <c r="G29" s="70" t="s">
        <v>793</v>
      </c>
      <c r="H29" s="72">
        <v>30.22</v>
      </c>
      <c r="I29" s="70">
        <v>40</v>
      </c>
      <c r="J29" s="72">
        <f t="shared" si="0"/>
        <v>31428.799999999999</v>
      </c>
      <c r="K29" s="72">
        <v>30.22</v>
      </c>
      <c r="L29" s="70">
        <v>40</v>
      </c>
      <c r="M29" s="72">
        <f t="shared" si="1"/>
        <v>31428.799999999999</v>
      </c>
      <c r="N29" s="28">
        <f t="shared" si="2"/>
        <v>62857.599999999999</v>
      </c>
      <c r="O29" s="28">
        <f t="shared" si="3"/>
        <v>1208.8</v>
      </c>
      <c r="P29" s="28">
        <f t="shared" si="4"/>
        <v>241.76</v>
      </c>
      <c r="Q29" s="28">
        <f t="shared" si="5"/>
        <v>3897.1711999999998</v>
      </c>
      <c r="R29" s="28">
        <f t="shared" si="6"/>
        <v>911.43520000000001</v>
      </c>
      <c r="S29" s="28">
        <f t="shared" si="7"/>
        <v>10528.648000000001</v>
      </c>
      <c r="T29" s="28">
        <f t="shared" si="15"/>
        <v>20696</v>
      </c>
      <c r="U29" s="77">
        <f t="shared" si="9"/>
        <v>1724.6666666666667</v>
      </c>
      <c r="V29" s="28">
        <f t="shared" si="16"/>
        <v>20696</v>
      </c>
      <c r="W29" s="110"/>
      <c r="X29" s="110"/>
      <c r="Y29" s="70">
        <v>13</v>
      </c>
      <c r="Z29" s="77">
        <f t="shared" si="10"/>
        <v>3142.88</v>
      </c>
      <c r="AA29" s="70">
        <v>22</v>
      </c>
      <c r="AB29" s="28">
        <f t="shared" si="11"/>
        <v>5318.7199999999993</v>
      </c>
      <c r="AC29" s="70">
        <v>4</v>
      </c>
      <c r="AD29" s="72">
        <f t="shared" si="12"/>
        <v>967.04</v>
      </c>
      <c r="AE29" s="73">
        <v>13</v>
      </c>
      <c r="AF29" s="28">
        <f t="shared" si="13"/>
        <v>3142.88</v>
      </c>
      <c r="AH29" s="27">
        <f t="shared" si="14"/>
        <v>102033.7344</v>
      </c>
      <c r="AJ29" s="177">
        <f>SUM(Z15:Z38)</f>
        <v>72478.815000000002</v>
      </c>
    </row>
    <row r="30" spans="1:36" x14ac:dyDescent="0.25">
      <c r="A30" s="88" t="s">
        <v>754</v>
      </c>
      <c r="B30" s="70" t="s">
        <v>697</v>
      </c>
      <c r="C30" s="70" t="s">
        <v>609</v>
      </c>
      <c r="D30" s="70" t="s">
        <v>791</v>
      </c>
      <c r="E30" s="74" t="s">
        <v>523</v>
      </c>
      <c r="F30" s="71">
        <v>35059</v>
      </c>
      <c r="G30" s="70" t="s">
        <v>792</v>
      </c>
      <c r="H30" s="72">
        <v>27.96</v>
      </c>
      <c r="I30" s="70">
        <v>40</v>
      </c>
      <c r="J30" s="72">
        <f t="shared" si="0"/>
        <v>29078.400000000001</v>
      </c>
      <c r="K30" s="72">
        <v>27.96</v>
      </c>
      <c r="L30" s="70">
        <v>40</v>
      </c>
      <c r="M30" s="72">
        <f t="shared" si="1"/>
        <v>29078.400000000001</v>
      </c>
      <c r="N30" s="28">
        <f t="shared" si="2"/>
        <v>58156.800000000003</v>
      </c>
      <c r="O30" s="28">
        <f t="shared" si="3"/>
        <v>1118.4000000000001</v>
      </c>
      <c r="P30" s="28">
        <f t="shared" si="4"/>
        <v>223.68</v>
      </c>
      <c r="Q30" s="28">
        <f t="shared" si="5"/>
        <v>3605.7216000000003</v>
      </c>
      <c r="R30" s="28">
        <f t="shared" si="6"/>
        <v>843.2736000000001</v>
      </c>
      <c r="S30" s="28">
        <f t="shared" si="7"/>
        <v>9741.264000000001</v>
      </c>
      <c r="T30" s="28">
        <f t="shared" si="15"/>
        <v>20696</v>
      </c>
      <c r="U30" s="77">
        <f t="shared" si="9"/>
        <v>1724.6666666666667</v>
      </c>
      <c r="V30" s="28">
        <f t="shared" si="16"/>
        <v>20696</v>
      </c>
      <c r="W30" s="110"/>
      <c r="X30" s="110"/>
      <c r="Y30" s="70">
        <v>13</v>
      </c>
      <c r="Z30" s="77">
        <f t="shared" si="10"/>
        <v>2907.84</v>
      </c>
      <c r="AA30" s="70">
        <v>25</v>
      </c>
      <c r="AB30" s="28">
        <f t="shared" si="11"/>
        <v>5592</v>
      </c>
      <c r="AC30" s="70">
        <v>4</v>
      </c>
      <c r="AD30" s="72">
        <f t="shared" si="12"/>
        <v>894.72</v>
      </c>
      <c r="AE30" s="73">
        <v>13</v>
      </c>
      <c r="AF30" s="28">
        <f t="shared" si="13"/>
        <v>2907.84</v>
      </c>
      <c r="AH30" s="27">
        <f t="shared" si="14"/>
        <v>95950.8992</v>
      </c>
    </row>
    <row r="31" spans="1:36" x14ac:dyDescent="0.25">
      <c r="A31" s="88" t="s">
        <v>755</v>
      </c>
      <c r="B31" s="70" t="s">
        <v>756</v>
      </c>
      <c r="C31" s="70" t="s">
        <v>609</v>
      </c>
      <c r="D31" s="70" t="s">
        <v>620</v>
      </c>
      <c r="E31" s="74" t="s">
        <v>523</v>
      </c>
      <c r="F31" s="71">
        <v>40596</v>
      </c>
      <c r="G31" s="70" t="s">
        <v>790</v>
      </c>
      <c r="H31" s="72">
        <v>35.33</v>
      </c>
      <c r="I31" s="70">
        <v>40</v>
      </c>
      <c r="J31" s="72">
        <f t="shared" si="0"/>
        <v>36743.199999999997</v>
      </c>
      <c r="K31" s="72">
        <v>35.33</v>
      </c>
      <c r="L31" s="70">
        <v>40</v>
      </c>
      <c r="M31" s="72">
        <f t="shared" si="1"/>
        <v>36743.199999999997</v>
      </c>
      <c r="N31" s="28">
        <f t="shared" si="2"/>
        <v>73486.399999999994</v>
      </c>
      <c r="O31" s="28">
        <f t="shared" si="3"/>
        <v>1413.1999999999998</v>
      </c>
      <c r="P31" s="28">
        <f t="shared" si="4"/>
        <v>282.64</v>
      </c>
      <c r="Q31" s="28">
        <f t="shared" si="5"/>
        <v>4556.1567999999997</v>
      </c>
      <c r="R31" s="28">
        <f t="shared" si="6"/>
        <v>1065.5527999999999</v>
      </c>
      <c r="S31" s="28">
        <f t="shared" si="7"/>
        <v>12308.972</v>
      </c>
      <c r="T31" s="28">
        <f t="shared" si="15"/>
        <v>20696</v>
      </c>
      <c r="U31" s="77">
        <f t="shared" si="9"/>
        <v>1724.6666666666667</v>
      </c>
      <c r="V31" s="28">
        <f t="shared" si="16"/>
        <v>20696</v>
      </c>
      <c r="W31" s="110"/>
      <c r="X31" s="110"/>
      <c r="Y31" s="70">
        <v>13</v>
      </c>
      <c r="Z31" s="77">
        <f t="shared" si="10"/>
        <v>3674.3199999999997</v>
      </c>
      <c r="AA31" s="70">
        <v>20</v>
      </c>
      <c r="AB31" s="28">
        <f t="shared" si="11"/>
        <v>5652.7999999999993</v>
      </c>
      <c r="AC31" s="70">
        <v>4</v>
      </c>
      <c r="AD31" s="72">
        <f t="shared" si="12"/>
        <v>1130.56</v>
      </c>
      <c r="AE31" s="73">
        <v>13</v>
      </c>
      <c r="AF31" s="28">
        <f t="shared" si="13"/>
        <v>3674.3199999999997</v>
      </c>
      <c r="AH31" s="27">
        <f t="shared" si="14"/>
        <v>115787.40159999998</v>
      </c>
    </row>
    <row r="32" spans="1:36" x14ac:dyDescent="0.25">
      <c r="A32" s="88" t="s">
        <v>617</v>
      </c>
      <c r="B32" s="70" t="s">
        <v>618</v>
      </c>
      <c r="C32" s="70" t="s">
        <v>609</v>
      </c>
      <c r="D32" s="70" t="s">
        <v>619</v>
      </c>
      <c r="E32" s="70" t="s">
        <v>523</v>
      </c>
      <c r="F32" s="71">
        <v>41827</v>
      </c>
      <c r="G32" s="70"/>
      <c r="H32" s="72">
        <v>27.95</v>
      </c>
      <c r="I32" s="70">
        <v>40</v>
      </c>
      <c r="J32" s="72">
        <f t="shared" si="0"/>
        <v>29068</v>
      </c>
      <c r="K32" s="72">
        <v>27.95</v>
      </c>
      <c r="L32" s="70">
        <v>35</v>
      </c>
      <c r="M32" s="72">
        <f t="shared" si="1"/>
        <v>25434.5</v>
      </c>
      <c r="N32" s="28">
        <f t="shared" si="2"/>
        <v>54502.5</v>
      </c>
      <c r="O32" s="28">
        <f t="shared" si="3"/>
        <v>1048.125</v>
      </c>
      <c r="P32" s="28">
        <f t="shared" si="4"/>
        <v>209.625</v>
      </c>
      <c r="Q32" s="28">
        <f t="shared" si="5"/>
        <v>3379.1550000000002</v>
      </c>
      <c r="R32" s="28">
        <f t="shared" si="6"/>
        <v>790.28625</v>
      </c>
      <c r="S32" s="28">
        <f t="shared" si="7"/>
        <v>9129.1687500000007</v>
      </c>
      <c r="T32" s="28">
        <f t="shared" si="15"/>
        <v>20696</v>
      </c>
      <c r="U32" s="77">
        <f t="shared" si="9"/>
        <v>1724.6666666666667</v>
      </c>
      <c r="V32" s="28">
        <f t="shared" si="16"/>
        <v>20696</v>
      </c>
      <c r="W32" s="110"/>
      <c r="X32" s="110"/>
      <c r="Y32" s="70">
        <v>13</v>
      </c>
      <c r="Z32" s="77">
        <f t="shared" si="10"/>
        <v>2725.125</v>
      </c>
      <c r="AA32" s="70">
        <v>15</v>
      </c>
      <c r="AB32" s="28">
        <f t="shared" si="11"/>
        <v>3144.375</v>
      </c>
      <c r="AC32" s="70">
        <v>4</v>
      </c>
      <c r="AD32" s="72">
        <f t="shared" si="12"/>
        <v>838.5</v>
      </c>
      <c r="AE32" s="73">
        <v>13</v>
      </c>
      <c r="AF32" s="28">
        <f t="shared" si="13"/>
        <v>2725.125</v>
      </c>
      <c r="AH32" s="27">
        <f t="shared" si="14"/>
        <v>91222.235000000001</v>
      </c>
    </row>
    <row r="33" spans="1:36" x14ac:dyDescent="0.25">
      <c r="A33" s="88" t="s">
        <v>621</v>
      </c>
      <c r="B33" s="70" t="s">
        <v>622</v>
      </c>
      <c r="C33" s="70" t="s">
        <v>609</v>
      </c>
      <c r="D33" s="70" t="s">
        <v>555</v>
      </c>
      <c r="E33" s="74" t="s">
        <v>523</v>
      </c>
      <c r="F33" s="75">
        <v>41827</v>
      </c>
      <c r="G33" s="70" t="s">
        <v>789</v>
      </c>
      <c r="H33" s="72">
        <v>27.95</v>
      </c>
      <c r="I33" s="70">
        <v>40</v>
      </c>
      <c r="J33" s="72">
        <f t="shared" si="0"/>
        <v>29068</v>
      </c>
      <c r="K33" s="72">
        <v>27.95</v>
      </c>
      <c r="L33" s="70">
        <v>40</v>
      </c>
      <c r="M33" s="72">
        <f t="shared" si="1"/>
        <v>29068</v>
      </c>
      <c r="N33" s="28">
        <f t="shared" si="2"/>
        <v>58136</v>
      </c>
      <c r="O33" s="28">
        <f t="shared" si="3"/>
        <v>1118</v>
      </c>
      <c r="P33" s="28">
        <f t="shared" si="4"/>
        <v>223.6</v>
      </c>
      <c r="Q33" s="28">
        <f t="shared" si="5"/>
        <v>3604.4319999999998</v>
      </c>
      <c r="R33" s="28">
        <f t="shared" si="6"/>
        <v>842.97200000000009</v>
      </c>
      <c r="S33" s="28">
        <f t="shared" si="7"/>
        <v>9737.7800000000007</v>
      </c>
      <c r="T33" s="28">
        <f t="shared" si="15"/>
        <v>20696</v>
      </c>
      <c r="U33" s="77">
        <f t="shared" si="9"/>
        <v>1724.6666666666667</v>
      </c>
      <c r="V33" s="28">
        <f t="shared" si="16"/>
        <v>20696</v>
      </c>
      <c r="W33" s="110"/>
      <c r="X33" s="110"/>
      <c r="Y33" s="70">
        <v>13</v>
      </c>
      <c r="Z33" s="77">
        <f t="shared" si="10"/>
        <v>2906.7999999999997</v>
      </c>
      <c r="AA33" s="70">
        <v>15</v>
      </c>
      <c r="AB33" s="28">
        <f t="shared" si="11"/>
        <v>3354</v>
      </c>
      <c r="AC33" s="70">
        <v>4</v>
      </c>
      <c r="AD33" s="72">
        <f t="shared" si="12"/>
        <v>894.4</v>
      </c>
      <c r="AE33" s="73">
        <v>13</v>
      </c>
      <c r="AF33" s="28">
        <f t="shared" si="13"/>
        <v>2906.7999999999997</v>
      </c>
      <c r="AH33" s="27">
        <f t="shared" si="14"/>
        <v>95923.983999999997</v>
      </c>
    </row>
    <row r="34" spans="1:36" x14ac:dyDescent="0.25">
      <c r="A34" s="70" t="s">
        <v>531</v>
      </c>
      <c r="B34" s="70" t="s">
        <v>532</v>
      </c>
      <c r="C34" s="70" t="s">
        <v>84</v>
      </c>
      <c r="D34" s="70" t="s">
        <v>533</v>
      </c>
      <c r="E34" s="70" t="s">
        <v>523</v>
      </c>
      <c r="F34" s="71">
        <v>40343</v>
      </c>
      <c r="G34" s="70" t="s">
        <v>585</v>
      </c>
      <c r="H34" s="81"/>
      <c r="I34" s="79" t="s">
        <v>31</v>
      </c>
      <c r="J34" s="72">
        <f>+(67699/2)</f>
        <v>33849.5</v>
      </c>
      <c r="K34" s="81"/>
      <c r="L34" s="79"/>
      <c r="M34" s="72">
        <f>+(68545/2)</f>
        <v>34272.5</v>
      </c>
      <c r="N34" s="28">
        <f t="shared" si="2"/>
        <v>68122</v>
      </c>
      <c r="O34" s="28">
        <f t="shared" si="3"/>
        <v>1310.0384615384614</v>
      </c>
      <c r="P34" s="28">
        <f t="shared" si="4"/>
        <v>262.00769230769231</v>
      </c>
      <c r="Q34" s="28">
        <f t="shared" si="5"/>
        <v>4223.5640000000003</v>
      </c>
      <c r="R34" s="28">
        <f t="shared" si="6"/>
        <v>987.76900000000001</v>
      </c>
      <c r="S34" s="28">
        <f t="shared" si="7"/>
        <v>11410.435000000001</v>
      </c>
      <c r="T34" s="28">
        <f>+(9.95*35*52)</f>
        <v>18109</v>
      </c>
      <c r="U34" s="77">
        <f t="shared" si="9"/>
        <v>1509.0833333333333</v>
      </c>
      <c r="V34" s="28">
        <v>18109</v>
      </c>
      <c r="W34" s="110"/>
      <c r="X34" s="110"/>
      <c r="Y34" s="70">
        <v>10</v>
      </c>
      <c r="Z34" s="28">
        <f t="shared" si="10"/>
        <v>2620.0769230769229</v>
      </c>
      <c r="AA34" s="70">
        <v>15</v>
      </c>
      <c r="AB34" s="28">
        <f t="shared" si="11"/>
        <v>3930.1153846153848</v>
      </c>
      <c r="AC34" s="70">
        <v>4</v>
      </c>
      <c r="AD34" s="72">
        <f t="shared" si="12"/>
        <v>1048.0307692307692</v>
      </c>
      <c r="AE34" s="73">
        <v>14</v>
      </c>
      <c r="AF34" s="28">
        <f t="shared" si="13"/>
        <v>3668.1076923076926</v>
      </c>
      <c r="AH34" s="27">
        <f t="shared" si="14"/>
        <v>105472.84492307692</v>
      </c>
    </row>
    <row r="35" spans="1:36" x14ac:dyDescent="0.25">
      <c r="A35" s="70" t="s">
        <v>527</v>
      </c>
      <c r="B35" s="70" t="s">
        <v>528</v>
      </c>
      <c r="C35" s="70" t="s">
        <v>84</v>
      </c>
      <c r="D35" s="70" t="s">
        <v>529</v>
      </c>
      <c r="E35" s="70" t="s">
        <v>523</v>
      </c>
      <c r="F35" s="71">
        <v>40360</v>
      </c>
      <c r="G35" s="70" t="s">
        <v>583</v>
      </c>
      <c r="H35" s="81"/>
      <c r="I35" s="79" t="s">
        <v>31</v>
      </c>
      <c r="J35" s="72">
        <v>38766</v>
      </c>
      <c r="K35" s="81"/>
      <c r="L35" s="79" t="s">
        <v>31</v>
      </c>
      <c r="M35" s="72">
        <v>39250</v>
      </c>
      <c r="N35" s="28">
        <f t="shared" si="2"/>
        <v>78016</v>
      </c>
      <c r="O35" s="28">
        <f t="shared" si="3"/>
        <v>1500.3076923076924</v>
      </c>
      <c r="P35" s="28">
        <f t="shared" si="4"/>
        <v>300.06153846153848</v>
      </c>
      <c r="Q35" s="28">
        <f t="shared" si="5"/>
        <v>4836.9920000000002</v>
      </c>
      <c r="R35" s="28">
        <f t="shared" si="6"/>
        <v>1131.232</v>
      </c>
      <c r="S35" s="28">
        <f t="shared" si="7"/>
        <v>13067.68</v>
      </c>
      <c r="T35" s="28">
        <f>+(9.95*35*52)</f>
        <v>18109</v>
      </c>
      <c r="U35" s="77">
        <f t="shared" si="9"/>
        <v>1509.0833333333333</v>
      </c>
      <c r="V35" s="28">
        <v>18109</v>
      </c>
      <c r="W35" s="110"/>
      <c r="X35" s="110"/>
      <c r="Y35" s="70">
        <v>10</v>
      </c>
      <c r="Z35" s="28">
        <f t="shared" si="10"/>
        <v>3000.6153846153848</v>
      </c>
      <c r="AA35" s="70">
        <v>20</v>
      </c>
      <c r="AB35" s="28">
        <f t="shared" si="11"/>
        <v>6001.2307692307695</v>
      </c>
      <c r="AC35" s="70">
        <v>4</v>
      </c>
      <c r="AD35" s="72">
        <f t="shared" si="12"/>
        <v>1200.2461538461539</v>
      </c>
      <c r="AE35" s="73">
        <v>14</v>
      </c>
      <c r="AF35" s="28">
        <f t="shared" si="13"/>
        <v>4200.8615384615387</v>
      </c>
      <c r="AH35" s="27">
        <f t="shared" si="14"/>
        <v>118161.51938461539</v>
      </c>
      <c r="AJ35" s="177"/>
    </row>
    <row r="36" spans="1:36" x14ac:dyDescent="0.25">
      <c r="A36" s="70" t="s">
        <v>590</v>
      </c>
      <c r="B36" s="70" t="s">
        <v>591</v>
      </c>
      <c r="C36" s="70" t="s">
        <v>105</v>
      </c>
      <c r="D36" s="70" t="s">
        <v>529</v>
      </c>
      <c r="E36" s="70" t="s">
        <v>523</v>
      </c>
      <c r="F36" s="71">
        <v>36486</v>
      </c>
      <c r="G36" s="70" t="s">
        <v>584</v>
      </c>
      <c r="H36" s="72">
        <v>32.26</v>
      </c>
      <c r="I36" s="70">
        <v>35</v>
      </c>
      <c r="J36" s="72">
        <f>+(I36*H36*26)</f>
        <v>29356.6</v>
      </c>
      <c r="K36" s="72">
        <v>32.659999999999997</v>
      </c>
      <c r="L36" s="70">
        <v>35</v>
      </c>
      <c r="M36" s="72">
        <f>+(L36*K36*26)</f>
        <v>29720.6</v>
      </c>
      <c r="N36" s="28">
        <f t="shared" si="2"/>
        <v>59077.2</v>
      </c>
      <c r="O36" s="28">
        <f t="shared" si="3"/>
        <v>1136.0999999999999</v>
      </c>
      <c r="P36" s="28">
        <f t="shared" si="4"/>
        <v>227.21999999999997</v>
      </c>
      <c r="Q36" s="28">
        <f t="shared" si="5"/>
        <v>3662.7864</v>
      </c>
      <c r="R36" s="28">
        <f t="shared" si="6"/>
        <v>856.61940000000004</v>
      </c>
      <c r="S36" s="28">
        <f t="shared" si="7"/>
        <v>9895.4310000000005</v>
      </c>
      <c r="T36" s="77">
        <f>+(9.95*35*52)</f>
        <v>18109</v>
      </c>
      <c r="U36" s="77">
        <f t="shared" si="9"/>
        <v>1509.0833333333333</v>
      </c>
      <c r="V36" s="77">
        <v>18109</v>
      </c>
      <c r="W36" s="29"/>
      <c r="X36" s="29"/>
      <c r="Y36" s="70">
        <v>15</v>
      </c>
      <c r="Z36" s="28">
        <f t="shared" si="10"/>
        <v>3408.2999999999997</v>
      </c>
      <c r="AA36" s="70">
        <v>25</v>
      </c>
      <c r="AB36" s="28">
        <f t="shared" si="11"/>
        <v>5680.4999999999991</v>
      </c>
      <c r="AC36" s="70">
        <v>4</v>
      </c>
      <c r="AD36" s="72">
        <f t="shared" si="12"/>
        <v>908.87999999999988</v>
      </c>
      <c r="AE36" s="73">
        <v>14</v>
      </c>
      <c r="AF36" s="28">
        <f t="shared" si="13"/>
        <v>3181.0799999999995</v>
      </c>
      <c r="AH36" s="27">
        <f t="shared" si="14"/>
        <v>95009.33679999999</v>
      </c>
    </row>
    <row r="37" spans="1:36" x14ac:dyDescent="0.25">
      <c r="A37" s="70" t="s">
        <v>596</v>
      </c>
      <c r="B37" s="70" t="s">
        <v>597</v>
      </c>
      <c r="C37" s="70" t="s">
        <v>105</v>
      </c>
      <c r="D37" s="70" t="s">
        <v>598</v>
      </c>
      <c r="E37" s="70" t="s">
        <v>523</v>
      </c>
      <c r="F37" s="71">
        <v>33255</v>
      </c>
      <c r="G37" s="70" t="s">
        <v>786</v>
      </c>
      <c r="H37" s="81"/>
      <c r="I37" s="79"/>
      <c r="J37" s="72">
        <v>31310</v>
      </c>
      <c r="K37" s="81"/>
      <c r="L37" s="79"/>
      <c r="M37" s="72">
        <v>31702</v>
      </c>
      <c r="N37" s="28">
        <f t="shared" si="2"/>
        <v>63012</v>
      </c>
      <c r="O37" s="28">
        <f t="shared" si="3"/>
        <v>1211.7692307692307</v>
      </c>
      <c r="P37" s="28">
        <f t="shared" si="4"/>
        <v>242.35384615384615</v>
      </c>
      <c r="Q37" s="28">
        <f t="shared" si="5"/>
        <v>3906.7440000000001</v>
      </c>
      <c r="R37" s="28">
        <f t="shared" si="6"/>
        <v>913.67400000000009</v>
      </c>
      <c r="S37" s="28">
        <f t="shared" si="7"/>
        <v>10554.51</v>
      </c>
      <c r="T37" s="77">
        <f>+(9.95*35*52)</f>
        <v>18109</v>
      </c>
      <c r="U37" s="77">
        <f t="shared" si="9"/>
        <v>1509.0833333333333</v>
      </c>
      <c r="V37" s="77">
        <v>18109</v>
      </c>
      <c r="W37" s="29"/>
      <c r="X37" s="29"/>
      <c r="Y37" s="70">
        <v>15</v>
      </c>
      <c r="Z37" s="28">
        <f t="shared" si="10"/>
        <v>3635.3076923076924</v>
      </c>
      <c r="AA37" s="70">
        <v>25</v>
      </c>
      <c r="AB37" s="28">
        <f t="shared" si="11"/>
        <v>6058.8461538461534</v>
      </c>
      <c r="AC37" s="70">
        <v>4</v>
      </c>
      <c r="AD37" s="72">
        <f t="shared" si="12"/>
        <v>969.4153846153846</v>
      </c>
      <c r="AE37" s="73">
        <v>14</v>
      </c>
      <c r="AF37" s="28">
        <f t="shared" si="13"/>
        <v>3392.9538461538459</v>
      </c>
      <c r="AH37" s="27">
        <f t="shared" si="14"/>
        <v>100131.23569230769</v>
      </c>
    </row>
    <row r="38" spans="1:36" x14ac:dyDescent="0.25">
      <c r="A38" s="70" t="s">
        <v>599</v>
      </c>
      <c r="B38" s="70" t="s">
        <v>600</v>
      </c>
      <c r="C38" s="70" t="s">
        <v>105</v>
      </c>
      <c r="D38" s="70" t="s">
        <v>570</v>
      </c>
      <c r="E38" s="70" t="s">
        <v>523</v>
      </c>
      <c r="F38" s="71">
        <v>37428</v>
      </c>
      <c r="G38" s="70" t="s">
        <v>586</v>
      </c>
      <c r="H38" s="72">
        <v>26.57</v>
      </c>
      <c r="I38" s="70">
        <v>35</v>
      </c>
      <c r="J38" s="72">
        <f t="shared" ref="J38:J47" si="17">+(I38*H38*26)</f>
        <v>24178.7</v>
      </c>
      <c r="K38" s="72">
        <v>26.9</v>
      </c>
      <c r="L38" s="70">
        <v>35</v>
      </c>
      <c r="M38" s="72">
        <f t="shared" ref="M38:M47" si="18">+(L38*K38*26)</f>
        <v>24479</v>
      </c>
      <c r="N38" s="28">
        <f t="shared" si="2"/>
        <v>48657.7</v>
      </c>
      <c r="O38" s="28">
        <f t="shared" si="3"/>
        <v>935.72499999999991</v>
      </c>
      <c r="P38" s="28">
        <f t="shared" si="4"/>
        <v>187.14499999999998</v>
      </c>
      <c r="Q38" s="28">
        <f t="shared" si="5"/>
        <v>3016.7773999999999</v>
      </c>
      <c r="R38" s="28">
        <f t="shared" si="6"/>
        <v>705.53665000000001</v>
      </c>
      <c r="S38" s="28">
        <f t="shared" si="7"/>
        <v>8150.1647499999999</v>
      </c>
      <c r="T38" s="77">
        <f>+(9.95*35*52)</f>
        <v>18109</v>
      </c>
      <c r="U38" s="77">
        <f t="shared" si="9"/>
        <v>1509.0833333333333</v>
      </c>
      <c r="V38" s="77">
        <v>18109</v>
      </c>
      <c r="W38" s="29"/>
      <c r="X38" s="29"/>
      <c r="Y38" s="70">
        <v>15</v>
      </c>
      <c r="Z38" s="28">
        <f t="shared" si="10"/>
        <v>2807.1749999999997</v>
      </c>
      <c r="AA38" s="70">
        <v>24</v>
      </c>
      <c r="AB38" s="28">
        <f t="shared" si="11"/>
        <v>4491.4799999999996</v>
      </c>
      <c r="AC38" s="70">
        <v>4</v>
      </c>
      <c r="AD38" s="72">
        <f t="shared" si="12"/>
        <v>748.57999999999993</v>
      </c>
      <c r="AE38" s="73">
        <v>14</v>
      </c>
      <c r="AF38" s="28">
        <f t="shared" si="13"/>
        <v>2620.0299999999997</v>
      </c>
      <c r="AH38" s="27">
        <f t="shared" si="14"/>
        <v>81446.353799999997</v>
      </c>
    </row>
    <row r="39" spans="1:36" x14ac:dyDescent="0.25">
      <c r="A39" s="70" t="s">
        <v>592</v>
      </c>
      <c r="B39" s="70" t="s">
        <v>773</v>
      </c>
      <c r="C39" s="70" t="s">
        <v>105</v>
      </c>
      <c r="D39" s="70" t="s">
        <v>593</v>
      </c>
      <c r="E39" s="70" t="s">
        <v>523</v>
      </c>
      <c r="F39" s="71">
        <v>33871</v>
      </c>
      <c r="G39" s="70" t="s">
        <v>584</v>
      </c>
      <c r="H39" s="72">
        <v>32.26</v>
      </c>
      <c r="I39" s="70">
        <v>35</v>
      </c>
      <c r="J39" s="72">
        <f t="shared" si="17"/>
        <v>29356.6</v>
      </c>
      <c r="K39" s="72">
        <v>32.659999999999997</v>
      </c>
      <c r="L39" s="70">
        <v>35</v>
      </c>
      <c r="M39" s="72">
        <f t="shared" si="18"/>
        <v>29720.6</v>
      </c>
      <c r="N39" s="28">
        <f t="shared" si="2"/>
        <v>59077.2</v>
      </c>
      <c r="O39" s="28">
        <f t="shared" si="3"/>
        <v>1136.0999999999999</v>
      </c>
      <c r="P39" s="28">
        <f t="shared" si="4"/>
        <v>227.21999999999997</v>
      </c>
      <c r="Q39" s="28">
        <f t="shared" si="5"/>
        <v>3662.7864</v>
      </c>
      <c r="R39" s="28">
        <f t="shared" si="6"/>
        <v>856.61940000000004</v>
      </c>
      <c r="S39" s="28">
        <f t="shared" si="7"/>
        <v>9895.4310000000005</v>
      </c>
      <c r="T39" s="110">
        <v>0</v>
      </c>
      <c r="U39" s="110">
        <f t="shared" si="9"/>
        <v>0</v>
      </c>
      <c r="V39" s="110"/>
      <c r="W39" s="29"/>
      <c r="X39" s="28">
        <v>4000</v>
      </c>
      <c r="Y39" s="70">
        <v>15</v>
      </c>
      <c r="Z39" s="28">
        <f t="shared" si="10"/>
        <v>3408.2999999999997</v>
      </c>
      <c r="AA39" s="70">
        <v>25</v>
      </c>
      <c r="AB39" s="28">
        <f t="shared" si="11"/>
        <v>5680.4999999999991</v>
      </c>
      <c r="AC39" s="70">
        <v>4</v>
      </c>
      <c r="AD39" s="72">
        <f t="shared" si="12"/>
        <v>908.87999999999988</v>
      </c>
      <c r="AE39" s="73">
        <v>14</v>
      </c>
      <c r="AF39" s="28">
        <f t="shared" si="13"/>
        <v>3181.0799999999995</v>
      </c>
      <c r="AH39" s="27">
        <f t="shared" si="14"/>
        <v>80900.33679999999</v>
      </c>
    </row>
    <row r="40" spans="1:36" x14ac:dyDescent="0.25">
      <c r="A40" s="70" t="s">
        <v>594</v>
      </c>
      <c r="B40" s="70" t="s">
        <v>595</v>
      </c>
      <c r="C40" s="70" t="s">
        <v>105</v>
      </c>
      <c r="D40" s="70" t="s">
        <v>555</v>
      </c>
      <c r="E40" s="70" t="s">
        <v>523</v>
      </c>
      <c r="F40" s="71">
        <v>36977</v>
      </c>
      <c r="G40" s="70" t="s">
        <v>586</v>
      </c>
      <c r="H40" s="72">
        <v>26.57</v>
      </c>
      <c r="I40" s="70">
        <v>35</v>
      </c>
      <c r="J40" s="72">
        <f t="shared" si="17"/>
        <v>24178.7</v>
      </c>
      <c r="K40" s="72">
        <v>26.9</v>
      </c>
      <c r="L40" s="70">
        <v>35</v>
      </c>
      <c r="M40" s="72">
        <f t="shared" si="18"/>
        <v>24479</v>
      </c>
      <c r="N40" s="28">
        <f t="shared" si="2"/>
        <v>48657.7</v>
      </c>
      <c r="O40" s="28">
        <f t="shared" si="3"/>
        <v>935.72499999999991</v>
      </c>
      <c r="P40" s="28">
        <f t="shared" si="4"/>
        <v>187.14499999999998</v>
      </c>
      <c r="Q40" s="28">
        <f t="shared" si="5"/>
        <v>3016.7773999999999</v>
      </c>
      <c r="R40" s="28">
        <f t="shared" si="6"/>
        <v>705.53665000000001</v>
      </c>
      <c r="S40" s="28">
        <f t="shared" si="7"/>
        <v>8150.1647499999999</v>
      </c>
      <c r="T40" s="77">
        <f>+(9.95*35*52)</f>
        <v>18109</v>
      </c>
      <c r="U40" s="77">
        <f t="shared" si="9"/>
        <v>1509.0833333333333</v>
      </c>
      <c r="V40" s="77">
        <v>18109</v>
      </c>
      <c r="W40" s="29"/>
      <c r="X40" s="29"/>
      <c r="Y40" s="70">
        <v>15</v>
      </c>
      <c r="Z40" s="28">
        <f t="shared" si="10"/>
        <v>2807.1749999999997</v>
      </c>
      <c r="AA40" s="70">
        <v>25</v>
      </c>
      <c r="AB40" s="28">
        <f t="shared" si="11"/>
        <v>4678.625</v>
      </c>
      <c r="AC40" s="70">
        <v>4</v>
      </c>
      <c r="AD40" s="72">
        <f t="shared" si="12"/>
        <v>748.57999999999993</v>
      </c>
      <c r="AE40" s="73">
        <v>14</v>
      </c>
      <c r="AF40" s="28">
        <f t="shared" si="13"/>
        <v>2620.0299999999997</v>
      </c>
      <c r="AH40" s="27">
        <f t="shared" si="14"/>
        <v>81446.353799999997</v>
      </c>
    </row>
    <row r="41" spans="1:36" x14ac:dyDescent="0.25">
      <c r="A41" s="70" t="s">
        <v>604</v>
      </c>
      <c r="B41" s="70" t="s">
        <v>605</v>
      </c>
      <c r="C41" s="70" t="s">
        <v>603</v>
      </c>
      <c r="D41" s="70" t="s">
        <v>606</v>
      </c>
      <c r="E41" s="70" t="s">
        <v>523</v>
      </c>
      <c r="F41" s="71">
        <v>37897</v>
      </c>
      <c r="G41" s="70" t="s">
        <v>584</v>
      </c>
      <c r="H41" s="72">
        <v>32.26</v>
      </c>
      <c r="I41" s="70">
        <v>35</v>
      </c>
      <c r="J41" s="72">
        <f t="shared" si="17"/>
        <v>29356.6</v>
      </c>
      <c r="K41" s="72">
        <v>32.659999999999997</v>
      </c>
      <c r="L41" s="70">
        <v>35</v>
      </c>
      <c r="M41" s="72">
        <f t="shared" si="18"/>
        <v>29720.6</v>
      </c>
      <c r="N41" s="28">
        <f t="shared" si="2"/>
        <v>59077.2</v>
      </c>
      <c r="O41" s="28">
        <f t="shared" si="3"/>
        <v>1136.0999999999999</v>
      </c>
      <c r="P41" s="28">
        <f t="shared" si="4"/>
        <v>227.21999999999997</v>
      </c>
      <c r="Q41" s="28">
        <f t="shared" si="5"/>
        <v>3662.7864</v>
      </c>
      <c r="R41" s="28">
        <f t="shared" si="6"/>
        <v>856.61940000000004</v>
      </c>
      <c r="S41" s="28">
        <f t="shared" si="7"/>
        <v>9895.4310000000005</v>
      </c>
      <c r="T41" s="29">
        <v>0</v>
      </c>
      <c r="U41" s="29">
        <f t="shared" si="9"/>
        <v>0</v>
      </c>
      <c r="V41" s="29"/>
      <c r="W41" s="29"/>
      <c r="X41" s="28">
        <v>4000</v>
      </c>
      <c r="Y41" s="70">
        <v>15</v>
      </c>
      <c r="Z41" s="28">
        <f t="shared" si="10"/>
        <v>3408.2999999999997</v>
      </c>
      <c r="AA41" s="70">
        <v>23</v>
      </c>
      <c r="AB41" s="28">
        <f t="shared" si="11"/>
        <v>5226.0599999999995</v>
      </c>
      <c r="AC41" s="70">
        <v>4</v>
      </c>
      <c r="AD41" s="72">
        <f t="shared" si="12"/>
        <v>908.87999999999988</v>
      </c>
      <c r="AE41" s="73">
        <v>14</v>
      </c>
      <c r="AF41" s="28">
        <f t="shared" si="13"/>
        <v>3181.0799999999995</v>
      </c>
      <c r="AH41" s="27">
        <f t="shared" si="14"/>
        <v>80900.33679999999</v>
      </c>
    </row>
    <row r="42" spans="1:36" x14ac:dyDescent="0.25">
      <c r="A42" s="70" t="s">
        <v>639</v>
      </c>
      <c r="B42" s="70" t="s">
        <v>640</v>
      </c>
      <c r="C42" s="70" t="s">
        <v>92</v>
      </c>
      <c r="D42" s="70" t="s">
        <v>641</v>
      </c>
      <c r="E42" s="70" t="s">
        <v>523</v>
      </c>
      <c r="F42" s="71">
        <v>36312</v>
      </c>
      <c r="G42" s="70" t="s">
        <v>584</v>
      </c>
      <c r="H42" s="72">
        <v>32.26</v>
      </c>
      <c r="I42" s="70">
        <v>35</v>
      </c>
      <c r="J42" s="72">
        <f t="shared" si="17"/>
        <v>29356.6</v>
      </c>
      <c r="K42" s="72">
        <v>32.659999999999997</v>
      </c>
      <c r="L42" s="70">
        <v>35</v>
      </c>
      <c r="M42" s="72">
        <f t="shared" si="18"/>
        <v>29720.6</v>
      </c>
      <c r="N42" s="28">
        <f t="shared" si="2"/>
        <v>59077.2</v>
      </c>
      <c r="O42" s="28">
        <f t="shared" si="3"/>
        <v>1136.0999999999999</v>
      </c>
      <c r="P42" s="28">
        <f t="shared" si="4"/>
        <v>227.21999999999997</v>
      </c>
      <c r="Q42" s="28">
        <f t="shared" si="5"/>
        <v>3662.7864</v>
      </c>
      <c r="R42" s="28">
        <f t="shared" si="6"/>
        <v>856.61940000000004</v>
      </c>
      <c r="S42" s="28">
        <f t="shared" si="7"/>
        <v>9895.4310000000005</v>
      </c>
      <c r="T42" s="28">
        <f t="shared" ref="T42:T49" si="19">+(9.95*35*52)</f>
        <v>18109</v>
      </c>
      <c r="U42" s="77">
        <f t="shared" si="9"/>
        <v>1509.0833333333333</v>
      </c>
      <c r="V42" s="28">
        <v>18109</v>
      </c>
      <c r="W42" s="29"/>
      <c r="X42" s="29"/>
      <c r="Y42" s="70">
        <v>15</v>
      </c>
      <c r="Z42" s="28">
        <f t="shared" si="10"/>
        <v>3408.2999999999997</v>
      </c>
      <c r="AA42" s="70">
        <v>25</v>
      </c>
      <c r="AB42" s="28">
        <f t="shared" si="11"/>
        <v>5680.4999999999991</v>
      </c>
      <c r="AC42" s="70">
        <v>4</v>
      </c>
      <c r="AD42" s="72">
        <f t="shared" si="12"/>
        <v>908.87999999999988</v>
      </c>
      <c r="AE42" s="73">
        <v>14</v>
      </c>
      <c r="AF42" s="28">
        <f t="shared" si="13"/>
        <v>3181.0799999999995</v>
      </c>
      <c r="AH42" s="27">
        <f t="shared" si="14"/>
        <v>95009.33679999999</v>
      </c>
    </row>
    <row r="43" spans="1:36" x14ac:dyDescent="0.25">
      <c r="A43" s="70" t="s">
        <v>564</v>
      </c>
      <c r="B43" s="70" t="s">
        <v>638</v>
      </c>
      <c r="C43" s="70" t="s">
        <v>92</v>
      </c>
      <c r="D43" s="70" t="s">
        <v>529</v>
      </c>
      <c r="E43" s="70" t="s">
        <v>523</v>
      </c>
      <c r="F43" s="71">
        <v>38957</v>
      </c>
      <c r="G43" s="70" t="s">
        <v>584</v>
      </c>
      <c r="H43" s="72">
        <v>32.26</v>
      </c>
      <c r="I43" s="70">
        <v>35</v>
      </c>
      <c r="J43" s="72">
        <f t="shared" si="17"/>
        <v>29356.6</v>
      </c>
      <c r="K43" s="72">
        <v>32.659999999999997</v>
      </c>
      <c r="L43" s="70">
        <v>35</v>
      </c>
      <c r="M43" s="72">
        <f t="shared" si="18"/>
        <v>29720.6</v>
      </c>
      <c r="N43" s="28">
        <f t="shared" si="2"/>
        <v>59077.2</v>
      </c>
      <c r="O43" s="28">
        <f t="shared" si="3"/>
        <v>1136.0999999999999</v>
      </c>
      <c r="P43" s="28">
        <f t="shared" si="4"/>
        <v>227.21999999999997</v>
      </c>
      <c r="Q43" s="28">
        <f t="shared" si="5"/>
        <v>3662.7864</v>
      </c>
      <c r="R43" s="28">
        <f t="shared" si="6"/>
        <v>856.61940000000004</v>
      </c>
      <c r="S43" s="28">
        <f t="shared" si="7"/>
        <v>9895.4310000000005</v>
      </c>
      <c r="T43" s="28">
        <f t="shared" si="19"/>
        <v>18109</v>
      </c>
      <c r="U43" s="77">
        <f t="shared" si="9"/>
        <v>1509.0833333333333</v>
      </c>
      <c r="V43" s="28">
        <v>18109</v>
      </c>
      <c r="W43" s="29"/>
      <c r="X43" s="29"/>
      <c r="Y43" s="70">
        <v>15</v>
      </c>
      <c r="Z43" s="28">
        <f t="shared" si="10"/>
        <v>3408.2999999999997</v>
      </c>
      <c r="AA43" s="70">
        <v>22</v>
      </c>
      <c r="AB43" s="28">
        <f t="shared" si="11"/>
        <v>4998.8399999999992</v>
      </c>
      <c r="AC43" s="70">
        <v>4</v>
      </c>
      <c r="AD43" s="72">
        <f t="shared" si="12"/>
        <v>908.87999999999988</v>
      </c>
      <c r="AE43" s="73">
        <v>14</v>
      </c>
      <c r="AF43" s="28">
        <f t="shared" si="13"/>
        <v>3181.0799999999995</v>
      </c>
      <c r="AH43" s="27">
        <f t="shared" si="14"/>
        <v>95009.33679999999</v>
      </c>
    </row>
    <row r="44" spans="1:36" x14ac:dyDescent="0.25">
      <c r="A44" s="70" t="s">
        <v>635</v>
      </c>
      <c r="B44" s="70" t="s">
        <v>636</v>
      </c>
      <c r="C44" s="70" t="s">
        <v>92</v>
      </c>
      <c r="D44" s="70" t="s">
        <v>637</v>
      </c>
      <c r="E44" s="70" t="s">
        <v>523</v>
      </c>
      <c r="F44" s="71">
        <v>35229</v>
      </c>
      <c r="G44" s="70" t="s">
        <v>584</v>
      </c>
      <c r="H44" s="72">
        <v>32.26</v>
      </c>
      <c r="I44" s="70">
        <v>35</v>
      </c>
      <c r="J44" s="72">
        <f t="shared" si="17"/>
        <v>29356.6</v>
      </c>
      <c r="K44" s="72">
        <v>32.659999999999997</v>
      </c>
      <c r="L44" s="70">
        <v>35</v>
      </c>
      <c r="M44" s="72">
        <f t="shared" si="18"/>
        <v>29720.6</v>
      </c>
      <c r="N44" s="28">
        <f t="shared" si="2"/>
        <v>59077.2</v>
      </c>
      <c r="O44" s="28">
        <f t="shared" si="3"/>
        <v>1136.0999999999999</v>
      </c>
      <c r="P44" s="28">
        <f t="shared" si="4"/>
        <v>227.21999999999997</v>
      </c>
      <c r="Q44" s="28">
        <f t="shared" si="5"/>
        <v>3662.7864</v>
      </c>
      <c r="R44" s="28">
        <f t="shared" si="6"/>
        <v>856.61940000000004</v>
      </c>
      <c r="S44" s="28">
        <f t="shared" si="7"/>
        <v>9895.4310000000005</v>
      </c>
      <c r="T44" s="28">
        <f t="shared" si="19"/>
        <v>18109</v>
      </c>
      <c r="U44" s="77">
        <f t="shared" si="9"/>
        <v>1509.0833333333333</v>
      </c>
      <c r="V44" s="28">
        <v>18109</v>
      </c>
      <c r="W44" s="29"/>
      <c r="X44" s="29"/>
      <c r="Y44" s="70">
        <v>15</v>
      </c>
      <c r="Z44" s="28">
        <f t="shared" si="10"/>
        <v>3408.2999999999997</v>
      </c>
      <c r="AA44" s="70">
        <v>25</v>
      </c>
      <c r="AB44" s="28">
        <f t="shared" si="11"/>
        <v>5680.4999999999991</v>
      </c>
      <c r="AC44" s="70">
        <v>4</v>
      </c>
      <c r="AD44" s="72">
        <f t="shared" si="12"/>
        <v>908.87999999999988</v>
      </c>
      <c r="AE44" s="73">
        <v>14</v>
      </c>
      <c r="AF44" s="28">
        <f t="shared" si="13"/>
        <v>3181.0799999999995</v>
      </c>
      <c r="AH44" s="27">
        <f t="shared" si="14"/>
        <v>95009.33679999999</v>
      </c>
    </row>
    <row r="45" spans="1:36" x14ac:dyDescent="0.25">
      <c r="A45" s="70" t="s">
        <v>776</v>
      </c>
      <c r="B45" s="70" t="s">
        <v>777</v>
      </c>
      <c r="C45" s="70" t="s">
        <v>93</v>
      </c>
      <c r="D45" s="70" t="s">
        <v>555</v>
      </c>
      <c r="E45" s="74" t="s">
        <v>523</v>
      </c>
      <c r="F45" s="71">
        <v>41598</v>
      </c>
      <c r="G45" s="70" t="s">
        <v>586</v>
      </c>
      <c r="H45" s="72">
        <v>26.57</v>
      </c>
      <c r="I45" s="70">
        <v>35</v>
      </c>
      <c r="J45" s="72">
        <f t="shared" si="17"/>
        <v>24178.7</v>
      </c>
      <c r="K45" s="72">
        <v>26.9</v>
      </c>
      <c r="L45" s="70">
        <v>35</v>
      </c>
      <c r="M45" s="72">
        <f t="shared" si="18"/>
        <v>24479</v>
      </c>
      <c r="N45" s="28">
        <f t="shared" si="2"/>
        <v>48657.7</v>
      </c>
      <c r="O45" s="28">
        <f t="shared" si="3"/>
        <v>935.72499999999991</v>
      </c>
      <c r="P45" s="28">
        <f t="shared" si="4"/>
        <v>187.14499999999998</v>
      </c>
      <c r="Q45" s="28">
        <f t="shared" si="5"/>
        <v>3016.7773999999999</v>
      </c>
      <c r="R45" s="28">
        <f t="shared" si="6"/>
        <v>705.53665000000001</v>
      </c>
      <c r="S45" s="28">
        <f t="shared" si="7"/>
        <v>8150.1647499999999</v>
      </c>
      <c r="T45" s="28">
        <f t="shared" si="19"/>
        <v>18109</v>
      </c>
      <c r="U45" s="77">
        <f t="shared" si="9"/>
        <v>1509.0833333333333</v>
      </c>
      <c r="V45" s="28">
        <v>18109</v>
      </c>
      <c r="W45" s="29"/>
      <c r="X45" s="29"/>
      <c r="Y45" s="70">
        <v>10</v>
      </c>
      <c r="Z45" s="28">
        <f t="shared" si="10"/>
        <v>1871.4499999999998</v>
      </c>
      <c r="AA45" s="70">
        <v>15</v>
      </c>
      <c r="AB45" s="28">
        <f t="shared" si="11"/>
        <v>2807.1749999999997</v>
      </c>
      <c r="AC45" s="70">
        <v>4</v>
      </c>
      <c r="AD45" s="72">
        <f t="shared" si="12"/>
        <v>748.57999999999993</v>
      </c>
      <c r="AE45" s="73">
        <v>14</v>
      </c>
      <c r="AF45" s="28">
        <f t="shared" si="13"/>
        <v>2620.0299999999997</v>
      </c>
      <c r="AH45" s="27">
        <f t="shared" si="14"/>
        <v>80510.628800000006</v>
      </c>
    </row>
    <row r="46" spans="1:36" x14ac:dyDescent="0.25">
      <c r="A46" s="70" t="s">
        <v>557</v>
      </c>
      <c r="B46" s="70" t="s">
        <v>558</v>
      </c>
      <c r="C46" s="70" t="s">
        <v>102</v>
      </c>
      <c r="D46" s="70" t="s">
        <v>559</v>
      </c>
      <c r="E46" s="70" t="s">
        <v>523</v>
      </c>
      <c r="F46" s="71">
        <v>42968</v>
      </c>
      <c r="G46" s="70" t="s">
        <v>584</v>
      </c>
      <c r="H46" s="72">
        <v>32.26</v>
      </c>
      <c r="I46" s="70">
        <v>35</v>
      </c>
      <c r="J46" s="72">
        <f t="shared" si="17"/>
        <v>29356.6</v>
      </c>
      <c r="K46" s="72">
        <v>32.659999999999997</v>
      </c>
      <c r="L46" s="70">
        <v>35</v>
      </c>
      <c r="M46" s="72">
        <f t="shared" si="18"/>
        <v>29720.6</v>
      </c>
      <c r="N46" s="28">
        <f t="shared" si="2"/>
        <v>59077.2</v>
      </c>
      <c r="O46" s="28">
        <f t="shared" si="3"/>
        <v>1136.0999999999999</v>
      </c>
      <c r="P46" s="28">
        <f t="shared" si="4"/>
        <v>227.21999999999997</v>
      </c>
      <c r="Q46" s="28">
        <f t="shared" si="5"/>
        <v>3662.7864</v>
      </c>
      <c r="R46" s="28">
        <f t="shared" si="6"/>
        <v>856.61940000000004</v>
      </c>
      <c r="S46" s="28">
        <f t="shared" si="7"/>
        <v>9895.4310000000005</v>
      </c>
      <c r="T46" s="28">
        <f t="shared" si="19"/>
        <v>18109</v>
      </c>
      <c r="U46" s="77">
        <f t="shared" si="9"/>
        <v>1509.0833333333333</v>
      </c>
      <c r="V46" s="28">
        <v>18109</v>
      </c>
      <c r="W46" s="29"/>
      <c r="X46" s="29"/>
      <c r="Y46" s="70">
        <v>10</v>
      </c>
      <c r="Z46" s="28">
        <f t="shared" si="10"/>
        <v>2272.1999999999998</v>
      </c>
      <c r="AA46" s="70">
        <v>10</v>
      </c>
      <c r="AB46" s="28">
        <f t="shared" si="11"/>
        <v>2272.1999999999998</v>
      </c>
      <c r="AC46" s="70">
        <v>4</v>
      </c>
      <c r="AD46" s="72">
        <f t="shared" si="12"/>
        <v>908.87999999999988</v>
      </c>
      <c r="AE46" s="73">
        <v>14</v>
      </c>
      <c r="AF46" s="28">
        <f t="shared" si="13"/>
        <v>3181.0799999999995</v>
      </c>
      <c r="AH46" s="27">
        <f t="shared" si="14"/>
        <v>93873.236799999999</v>
      </c>
    </row>
    <row r="47" spans="1:36" x14ac:dyDescent="0.25">
      <c r="A47" s="70" t="s">
        <v>520</v>
      </c>
      <c r="B47" s="70" t="s">
        <v>521</v>
      </c>
      <c r="C47" s="70" t="s">
        <v>519</v>
      </c>
      <c r="D47" s="70" t="s">
        <v>522</v>
      </c>
      <c r="E47" s="70" t="s">
        <v>523</v>
      </c>
      <c r="F47" s="71">
        <v>43528</v>
      </c>
      <c r="G47" s="70" t="s">
        <v>584</v>
      </c>
      <c r="H47" s="72">
        <v>32.26</v>
      </c>
      <c r="I47" s="70">
        <v>35</v>
      </c>
      <c r="J47" s="72">
        <f t="shared" si="17"/>
        <v>29356.6</v>
      </c>
      <c r="K47" s="72">
        <v>32.659999999999997</v>
      </c>
      <c r="L47" s="70">
        <v>35</v>
      </c>
      <c r="M47" s="72">
        <f t="shared" si="18"/>
        <v>29720.6</v>
      </c>
      <c r="N47" s="28">
        <f t="shared" si="2"/>
        <v>59077.2</v>
      </c>
      <c r="O47" s="28">
        <f t="shared" si="3"/>
        <v>1136.0999999999999</v>
      </c>
      <c r="P47" s="28">
        <f t="shared" si="4"/>
        <v>227.21999999999997</v>
      </c>
      <c r="Q47" s="28">
        <f t="shared" si="5"/>
        <v>3662.7864</v>
      </c>
      <c r="R47" s="28">
        <f t="shared" si="6"/>
        <v>856.61940000000004</v>
      </c>
      <c r="S47" s="28">
        <f t="shared" si="7"/>
        <v>9895.4310000000005</v>
      </c>
      <c r="T47" s="28">
        <f t="shared" si="19"/>
        <v>18109</v>
      </c>
      <c r="U47" s="77">
        <f t="shared" si="9"/>
        <v>1509.0833333333333</v>
      </c>
      <c r="V47" s="28">
        <v>18109</v>
      </c>
      <c r="W47" s="29"/>
      <c r="X47" s="29"/>
      <c r="Y47" s="70">
        <v>10</v>
      </c>
      <c r="Z47" s="28">
        <f t="shared" si="10"/>
        <v>2272.1999999999998</v>
      </c>
      <c r="AA47" s="70">
        <v>10</v>
      </c>
      <c r="AB47" s="28">
        <f t="shared" si="11"/>
        <v>2272.1999999999998</v>
      </c>
      <c r="AC47" s="70">
        <v>4</v>
      </c>
      <c r="AD47" s="72">
        <f t="shared" si="12"/>
        <v>908.87999999999988</v>
      </c>
      <c r="AE47" s="73">
        <v>14</v>
      </c>
      <c r="AF47" s="28">
        <f t="shared" si="13"/>
        <v>3181.0799999999995</v>
      </c>
      <c r="AH47" s="27">
        <f t="shared" si="14"/>
        <v>93873.236799999999</v>
      </c>
    </row>
    <row r="48" spans="1:36" x14ac:dyDescent="0.25">
      <c r="A48" s="70" t="s">
        <v>578</v>
      </c>
      <c r="B48" s="70" t="s">
        <v>579</v>
      </c>
      <c r="C48" s="70" t="s">
        <v>577</v>
      </c>
      <c r="D48" s="70" t="s">
        <v>580</v>
      </c>
      <c r="E48" s="70" t="s">
        <v>523</v>
      </c>
      <c r="F48" s="71">
        <v>37578</v>
      </c>
      <c r="G48" s="70" t="s">
        <v>585</v>
      </c>
      <c r="H48" s="81" t="s">
        <v>31</v>
      </c>
      <c r="I48" s="79" t="s">
        <v>31</v>
      </c>
      <c r="J48" s="72">
        <v>33849</v>
      </c>
      <c r="K48" s="81"/>
      <c r="L48" s="79" t="s">
        <v>31</v>
      </c>
      <c r="M48" s="72">
        <v>34272</v>
      </c>
      <c r="N48" s="28">
        <f>+(M48+J48)</f>
        <v>68121</v>
      </c>
      <c r="O48" s="28">
        <f t="shared" si="3"/>
        <v>1310.0192307692307</v>
      </c>
      <c r="P48" s="28">
        <f t="shared" si="4"/>
        <v>262.00384615384615</v>
      </c>
      <c r="Q48" s="28">
        <f t="shared" si="5"/>
        <v>4223.5020000000004</v>
      </c>
      <c r="R48" s="28">
        <f t="shared" si="6"/>
        <v>987.75450000000001</v>
      </c>
      <c r="S48" s="28">
        <f t="shared" si="7"/>
        <v>11410.2675</v>
      </c>
      <c r="T48" s="28">
        <f t="shared" si="19"/>
        <v>18109</v>
      </c>
      <c r="U48" s="77">
        <f t="shared" si="9"/>
        <v>1509.0833333333333</v>
      </c>
      <c r="V48" s="28">
        <v>18109</v>
      </c>
      <c r="W48" s="29"/>
      <c r="X48" s="29"/>
      <c r="Y48" s="70">
        <v>15</v>
      </c>
      <c r="Z48" s="28">
        <f t="shared" si="10"/>
        <v>3930.0576923076924</v>
      </c>
      <c r="AA48" s="70">
        <v>24</v>
      </c>
      <c r="AB48" s="28">
        <f t="shared" si="11"/>
        <v>6288.0923076923082</v>
      </c>
      <c r="AC48" s="70">
        <v>4</v>
      </c>
      <c r="AD48" s="72">
        <f t="shared" si="12"/>
        <v>1048.0153846153846</v>
      </c>
      <c r="AE48" s="73">
        <v>14</v>
      </c>
      <c r="AF48" s="28">
        <f t="shared" si="13"/>
        <v>3668.0538461538463</v>
      </c>
      <c r="AH48" s="27">
        <f t="shared" si="14"/>
        <v>106781.58169230769</v>
      </c>
    </row>
    <row r="49" spans="1:34" x14ac:dyDescent="0.25">
      <c r="A49" s="70" t="s">
        <v>581</v>
      </c>
      <c r="B49" s="70" t="s">
        <v>582</v>
      </c>
      <c r="C49" s="70" t="s">
        <v>577</v>
      </c>
      <c r="D49" s="70" t="s">
        <v>555</v>
      </c>
      <c r="E49" s="70" t="s">
        <v>523</v>
      </c>
      <c r="F49" s="71">
        <v>36948</v>
      </c>
      <c r="G49" s="70" t="s">
        <v>584</v>
      </c>
      <c r="H49" s="72">
        <v>32.26</v>
      </c>
      <c r="I49" s="70">
        <v>35</v>
      </c>
      <c r="J49" s="72">
        <f>+(I49*H49*26)</f>
        <v>29356.6</v>
      </c>
      <c r="K49" s="72">
        <v>32.659999999999997</v>
      </c>
      <c r="L49" s="70">
        <v>35</v>
      </c>
      <c r="M49" s="72">
        <f>+(L49*K49*26)</f>
        <v>29720.6</v>
      </c>
      <c r="N49" s="28">
        <f>+(J49+M49)</f>
        <v>59077.2</v>
      </c>
      <c r="O49" s="28">
        <f t="shared" si="3"/>
        <v>1136.0999999999999</v>
      </c>
      <c r="P49" s="28">
        <f t="shared" si="4"/>
        <v>227.21999999999997</v>
      </c>
      <c r="Q49" s="28">
        <f t="shared" si="5"/>
        <v>3662.7864</v>
      </c>
      <c r="R49" s="28">
        <f t="shared" si="6"/>
        <v>856.61940000000004</v>
      </c>
      <c r="S49" s="28">
        <f t="shared" si="7"/>
        <v>9895.4310000000005</v>
      </c>
      <c r="T49" s="28">
        <f t="shared" si="19"/>
        <v>18109</v>
      </c>
      <c r="U49" s="77">
        <f t="shared" si="9"/>
        <v>1509.0833333333333</v>
      </c>
      <c r="V49" s="28">
        <v>18109</v>
      </c>
      <c r="W49" s="29"/>
      <c r="X49" s="29"/>
      <c r="Y49" s="70">
        <v>15</v>
      </c>
      <c r="Z49" s="28">
        <f t="shared" si="10"/>
        <v>3408.2999999999997</v>
      </c>
      <c r="AA49" s="70">
        <v>25</v>
      </c>
      <c r="AB49" s="28">
        <f t="shared" si="11"/>
        <v>5680.4999999999991</v>
      </c>
      <c r="AC49" s="70">
        <v>4</v>
      </c>
      <c r="AD49" s="72">
        <f t="shared" si="12"/>
        <v>908.87999999999988</v>
      </c>
      <c r="AE49" s="73">
        <v>14</v>
      </c>
      <c r="AF49" s="28">
        <f t="shared" si="13"/>
        <v>3181.0799999999995</v>
      </c>
      <c r="AH49" s="27">
        <f t="shared" si="14"/>
        <v>95009.33679999999</v>
      </c>
    </row>
    <row r="50" spans="1:34" x14ac:dyDescent="0.25">
      <c r="A50" s="89" t="s">
        <v>731</v>
      </c>
      <c r="B50" s="89" t="s">
        <v>732</v>
      </c>
      <c r="C50" s="89" t="s">
        <v>550</v>
      </c>
      <c r="D50" s="89" t="s">
        <v>805</v>
      </c>
      <c r="E50" s="89" t="s">
        <v>523</v>
      </c>
      <c r="F50" s="90">
        <v>32433</v>
      </c>
      <c r="G50" s="89" t="s">
        <v>806</v>
      </c>
      <c r="H50" s="91"/>
      <c r="I50" s="89"/>
      <c r="J50" s="91"/>
      <c r="K50" s="91"/>
      <c r="L50" s="89"/>
      <c r="M50" s="91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89"/>
      <c r="Z50" s="92"/>
      <c r="AA50" s="89"/>
      <c r="AB50" s="92"/>
      <c r="AC50" s="89"/>
      <c r="AD50" s="91"/>
      <c r="AE50" s="93"/>
      <c r="AF50" s="92"/>
      <c r="AH50" s="27">
        <f t="shared" si="14"/>
        <v>0</v>
      </c>
    </row>
    <row r="51" spans="1:34" x14ac:dyDescent="0.25">
      <c r="A51" s="89" t="s">
        <v>553</v>
      </c>
      <c r="B51" s="89" t="s">
        <v>554</v>
      </c>
      <c r="C51" s="89" t="s">
        <v>550</v>
      </c>
      <c r="D51" s="89" t="s">
        <v>555</v>
      </c>
      <c r="E51" s="89" t="s">
        <v>523</v>
      </c>
      <c r="F51" s="90">
        <v>42422</v>
      </c>
      <c r="G51" s="89" t="s">
        <v>584</v>
      </c>
      <c r="H51" s="91"/>
      <c r="I51" s="89"/>
      <c r="J51" s="91"/>
      <c r="K51" s="91"/>
      <c r="L51" s="89"/>
      <c r="M51" s="91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89"/>
      <c r="Z51" s="92"/>
      <c r="AA51" s="89"/>
      <c r="AB51" s="92"/>
      <c r="AC51" s="89"/>
      <c r="AD51" s="91"/>
      <c r="AE51" s="93"/>
      <c r="AF51" s="92"/>
      <c r="AG51" t="s">
        <v>31</v>
      </c>
      <c r="AH51" s="27" t="s">
        <v>31</v>
      </c>
    </row>
    <row r="52" spans="1:34" x14ac:dyDescent="0.25">
      <c r="A52" s="89" t="s">
        <v>736</v>
      </c>
      <c r="B52" s="89" t="s">
        <v>611</v>
      </c>
      <c r="C52" s="89" t="s">
        <v>550</v>
      </c>
      <c r="D52" s="89" t="s">
        <v>807</v>
      </c>
      <c r="E52" s="89" t="s">
        <v>523</v>
      </c>
      <c r="F52" s="90">
        <v>42919</v>
      </c>
      <c r="G52" s="89" t="s">
        <v>808</v>
      </c>
      <c r="H52" s="91"/>
      <c r="I52" s="89"/>
      <c r="J52" s="91"/>
      <c r="K52" s="91"/>
      <c r="L52" s="89"/>
      <c r="M52" s="91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89"/>
      <c r="Z52" s="92"/>
      <c r="AA52" s="89"/>
      <c r="AB52" s="92"/>
      <c r="AC52" s="89"/>
      <c r="AD52" s="91"/>
      <c r="AE52" s="93"/>
      <c r="AF52" s="92"/>
      <c r="AH52" s="27">
        <f t="shared" si="14"/>
        <v>0</v>
      </c>
    </row>
    <row r="53" spans="1:34" x14ac:dyDescent="0.25">
      <c r="A53" s="89" t="s">
        <v>548</v>
      </c>
      <c r="B53" s="89" t="s">
        <v>629</v>
      </c>
      <c r="C53" s="89" t="s">
        <v>550</v>
      </c>
      <c r="D53" s="89" t="s">
        <v>620</v>
      </c>
      <c r="E53" s="89" t="s">
        <v>523</v>
      </c>
      <c r="F53" s="90">
        <v>37515</v>
      </c>
      <c r="G53" s="89" t="s">
        <v>809</v>
      </c>
      <c r="H53" s="91"/>
      <c r="I53" s="89"/>
      <c r="J53" s="91"/>
      <c r="K53" s="91"/>
      <c r="L53" s="89"/>
      <c r="M53" s="91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89"/>
      <c r="Z53" s="92"/>
      <c r="AA53" s="89"/>
      <c r="AB53" s="92"/>
      <c r="AC53" s="89"/>
      <c r="AD53" s="91"/>
      <c r="AE53" s="93"/>
      <c r="AF53" s="92"/>
      <c r="AH53" s="27">
        <f t="shared" si="14"/>
        <v>0</v>
      </c>
    </row>
    <row r="54" spans="1:34" x14ac:dyDescent="0.25">
      <c r="A54" s="88" t="s">
        <v>560</v>
      </c>
      <c r="B54" s="70" t="s">
        <v>561</v>
      </c>
      <c r="C54" s="70" t="s">
        <v>562</v>
      </c>
      <c r="D54" s="70" t="s">
        <v>563</v>
      </c>
      <c r="E54" s="70" t="s">
        <v>552</v>
      </c>
      <c r="F54" s="71">
        <v>42233</v>
      </c>
      <c r="G54" s="74" t="s">
        <v>585</v>
      </c>
      <c r="H54" s="81"/>
      <c r="I54" s="79"/>
      <c r="J54" s="81"/>
      <c r="K54" s="81"/>
      <c r="L54" s="79"/>
      <c r="M54" s="81"/>
      <c r="N54" s="28">
        <v>65546</v>
      </c>
      <c r="O54" s="28">
        <f t="shared" ref="O54:O60" si="20">+(N54/52)</f>
        <v>1260.5</v>
      </c>
      <c r="P54" s="28">
        <f t="shared" ref="P54:P60" si="21">+(O54/5)</f>
        <v>252.1</v>
      </c>
      <c r="Q54" s="28">
        <f t="shared" ref="Q54:Q60" si="22">+(N54*0.062)</f>
        <v>4063.8519999999999</v>
      </c>
      <c r="R54" s="28">
        <f t="shared" ref="R54:R60" si="23">+(N54*0.0145)</f>
        <v>950.41700000000003</v>
      </c>
      <c r="S54" s="28">
        <f t="shared" ref="S54:S60" si="24">+(N54*0.1675)</f>
        <v>10978.955</v>
      </c>
      <c r="T54" s="110">
        <f>+(12*U54)</f>
        <v>0</v>
      </c>
      <c r="U54" s="110"/>
      <c r="V54" s="110"/>
      <c r="W54" s="110"/>
      <c r="X54" s="28">
        <v>4000</v>
      </c>
      <c r="Y54" s="70">
        <v>15</v>
      </c>
      <c r="Z54" s="28">
        <f t="shared" ref="Z54:Z60" si="25">+(Y54*P54)</f>
        <v>3781.5</v>
      </c>
      <c r="AA54" s="70">
        <v>15</v>
      </c>
      <c r="AB54" s="28">
        <f t="shared" ref="AB54:AB60" si="26">+(AA54*P54)</f>
        <v>3781.5</v>
      </c>
      <c r="AC54" s="70">
        <v>3</v>
      </c>
      <c r="AD54" s="72">
        <f t="shared" ref="AD54:AD60" si="27">+(AC54*P54)</f>
        <v>756.3</v>
      </c>
      <c r="AE54" s="73">
        <v>14</v>
      </c>
      <c r="AF54" s="28">
        <f t="shared" ref="AF54:AF60" si="28">+(AE54*P54)</f>
        <v>3529.4</v>
      </c>
      <c r="AH54" s="27">
        <f t="shared" si="14"/>
        <v>89320.724000000002</v>
      </c>
    </row>
    <row r="55" spans="1:34" x14ac:dyDescent="0.25">
      <c r="A55" s="88" t="s">
        <v>524</v>
      </c>
      <c r="B55" s="70" t="s">
        <v>525</v>
      </c>
      <c r="C55" s="70" t="s">
        <v>84</v>
      </c>
      <c r="D55" s="70" t="s">
        <v>526</v>
      </c>
      <c r="E55" s="70" t="s">
        <v>552</v>
      </c>
      <c r="F55" s="71">
        <v>42562</v>
      </c>
      <c r="G55" s="74" t="s">
        <v>817</v>
      </c>
      <c r="H55" s="81"/>
      <c r="I55" s="79"/>
      <c r="J55" s="81"/>
      <c r="K55" s="81"/>
      <c r="L55" s="79"/>
      <c r="M55" s="81"/>
      <c r="N55" s="28">
        <v>103793</v>
      </c>
      <c r="O55" s="28">
        <f t="shared" si="20"/>
        <v>1996.0192307692307</v>
      </c>
      <c r="P55" s="28">
        <f t="shared" si="21"/>
        <v>399.20384615384614</v>
      </c>
      <c r="Q55" s="28">
        <f t="shared" si="22"/>
        <v>6435.1660000000002</v>
      </c>
      <c r="R55" s="28">
        <f t="shared" si="23"/>
        <v>1504.9985000000001</v>
      </c>
      <c r="S55" s="28">
        <f t="shared" si="24"/>
        <v>17385.327499999999</v>
      </c>
      <c r="T55" s="28">
        <v>32219.75</v>
      </c>
      <c r="U55" s="77">
        <f>+(T55/12)</f>
        <v>2684.9791666666665</v>
      </c>
      <c r="V55" s="28">
        <f>+(T55*0.885)</f>
        <v>28514.478750000002</v>
      </c>
      <c r="W55" s="110"/>
      <c r="X55" s="110"/>
      <c r="Y55" s="70">
        <v>15</v>
      </c>
      <c r="Z55" s="28">
        <f t="shared" si="25"/>
        <v>5988.0576923076924</v>
      </c>
      <c r="AA55" s="70">
        <v>15</v>
      </c>
      <c r="AB55" s="28">
        <f t="shared" si="26"/>
        <v>5988.0576923076924</v>
      </c>
      <c r="AC55" s="70">
        <v>3</v>
      </c>
      <c r="AD55" s="72">
        <f t="shared" si="27"/>
        <v>1197.6115384615384</v>
      </c>
      <c r="AE55" s="73">
        <v>14</v>
      </c>
      <c r="AF55" s="28">
        <f t="shared" si="28"/>
        <v>5588.8538461538465</v>
      </c>
      <c r="AH55" s="27">
        <f t="shared" si="14"/>
        <v>163621.0284423077</v>
      </c>
    </row>
    <row r="56" spans="1:34" x14ac:dyDescent="0.25">
      <c r="A56" s="88" t="s">
        <v>587</v>
      </c>
      <c r="B56" s="70" t="s">
        <v>588</v>
      </c>
      <c r="C56" s="70" t="s">
        <v>105</v>
      </c>
      <c r="D56" s="70" t="s">
        <v>589</v>
      </c>
      <c r="E56" s="70" t="s">
        <v>552</v>
      </c>
      <c r="F56" s="71">
        <v>34960</v>
      </c>
      <c r="G56" s="74" t="s">
        <v>818</v>
      </c>
      <c r="H56" s="81"/>
      <c r="I56" s="79"/>
      <c r="J56" s="81"/>
      <c r="K56" s="81"/>
      <c r="L56" s="79"/>
      <c r="M56" s="81"/>
      <c r="N56" s="28">
        <v>78522</v>
      </c>
      <c r="O56" s="28">
        <f t="shared" si="20"/>
        <v>1510.0384615384614</v>
      </c>
      <c r="P56" s="28">
        <f t="shared" si="21"/>
        <v>302.00769230769231</v>
      </c>
      <c r="Q56" s="28">
        <f t="shared" si="22"/>
        <v>4868.3639999999996</v>
      </c>
      <c r="R56" s="28">
        <f t="shared" si="23"/>
        <v>1138.569</v>
      </c>
      <c r="S56" s="28">
        <f t="shared" si="24"/>
        <v>13152.435000000001</v>
      </c>
      <c r="T56" s="29"/>
      <c r="U56" s="29"/>
      <c r="V56" s="29"/>
      <c r="W56" s="29"/>
      <c r="X56" s="77">
        <v>4000</v>
      </c>
      <c r="Y56" s="70">
        <v>15</v>
      </c>
      <c r="Z56" s="28">
        <f t="shared" si="25"/>
        <v>4530.1153846153848</v>
      </c>
      <c r="AA56" s="70">
        <v>25</v>
      </c>
      <c r="AB56" s="28">
        <f t="shared" si="26"/>
        <v>7550.1923076923076</v>
      </c>
      <c r="AC56" s="70">
        <v>3</v>
      </c>
      <c r="AD56" s="72">
        <f t="shared" si="27"/>
        <v>906.02307692307693</v>
      </c>
      <c r="AE56" s="73">
        <v>14</v>
      </c>
      <c r="AF56" s="28">
        <f t="shared" si="28"/>
        <v>4228.1076923076926</v>
      </c>
      <c r="AH56" s="27">
        <f t="shared" si="14"/>
        <v>106211.48338461539</v>
      </c>
    </row>
    <row r="57" spans="1:34" x14ac:dyDescent="0.25">
      <c r="A57" s="88" t="s">
        <v>601</v>
      </c>
      <c r="B57" s="70" t="s">
        <v>602</v>
      </c>
      <c r="C57" s="70" t="s">
        <v>603</v>
      </c>
      <c r="D57" s="70" t="s">
        <v>589</v>
      </c>
      <c r="E57" s="70" t="s">
        <v>552</v>
      </c>
      <c r="F57" s="71">
        <v>35941</v>
      </c>
      <c r="G57" s="74" t="s">
        <v>583</v>
      </c>
      <c r="H57" s="81"/>
      <c r="I57" s="79"/>
      <c r="J57" s="81"/>
      <c r="K57" s="81"/>
      <c r="L57" s="79"/>
      <c r="M57" s="81"/>
      <c r="N57" s="28">
        <v>75066</v>
      </c>
      <c r="O57" s="28">
        <f t="shared" si="20"/>
        <v>1443.5769230769231</v>
      </c>
      <c r="P57" s="28">
        <f t="shared" si="21"/>
        <v>288.71538461538461</v>
      </c>
      <c r="Q57" s="28">
        <f t="shared" si="22"/>
        <v>4654.0919999999996</v>
      </c>
      <c r="R57" s="28">
        <f t="shared" si="23"/>
        <v>1088.4570000000001</v>
      </c>
      <c r="S57" s="28">
        <f t="shared" si="24"/>
        <v>12573.555</v>
      </c>
      <c r="T57" s="28">
        <v>32219.75</v>
      </c>
      <c r="U57" s="28">
        <f>+(T57/12)</f>
        <v>2684.9791666666665</v>
      </c>
      <c r="V57" s="28">
        <f>+(T57*0.885)</f>
        <v>28514.478750000002</v>
      </c>
      <c r="W57" s="29"/>
      <c r="X57" s="29"/>
      <c r="Y57" s="70">
        <v>15</v>
      </c>
      <c r="Z57" s="28">
        <f t="shared" si="25"/>
        <v>4330.7307692307695</v>
      </c>
      <c r="AA57" s="70">
        <v>25</v>
      </c>
      <c r="AB57" s="28">
        <f t="shared" si="26"/>
        <v>7217.8846153846152</v>
      </c>
      <c r="AC57" s="70">
        <v>3</v>
      </c>
      <c r="AD57" s="72">
        <f t="shared" si="27"/>
        <v>866.14615384615377</v>
      </c>
      <c r="AE57" s="73">
        <v>14</v>
      </c>
      <c r="AF57" s="28">
        <f t="shared" si="28"/>
        <v>4042.0153846153844</v>
      </c>
      <c r="AH57" s="27">
        <f t="shared" si="14"/>
        <v>126227.31351923078</v>
      </c>
    </row>
    <row r="58" spans="1:34" x14ac:dyDescent="0.25">
      <c r="A58" s="88" t="s">
        <v>720</v>
      </c>
      <c r="B58" s="70" t="s">
        <v>721</v>
      </c>
      <c r="C58" s="70" t="s">
        <v>107</v>
      </c>
      <c r="D58" s="70" t="s">
        <v>589</v>
      </c>
      <c r="E58" s="70" t="s">
        <v>552</v>
      </c>
      <c r="F58" s="71">
        <v>39163</v>
      </c>
      <c r="G58" s="74" t="s">
        <v>583</v>
      </c>
      <c r="H58" s="81"/>
      <c r="I58" s="79"/>
      <c r="J58" s="81"/>
      <c r="K58" s="81"/>
      <c r="L58" s="79"/>
      <c r="M58" s="81"/>
      <c r="N58" s="28">
        <v>75066</v>
      </c>
      <c r="O58" s="28">
        <f t="shared" si="20"/>
        <v>1443.5769230769231</v>
      </c>
      <c r="P58" s="28">
        <f t="shared" si="21"/>
        <v>288.71538461538461</v>
      </c>
      <c r="Q58" s="28">
        <f t="shared" si="22"/>
        <v>4654.0919999999996</v>
      </c>
      <c r="R58" s="28">
        <f t="shared" si="23"/>
        <v>1088.4570000000001</v>
      </c>
      <c r="S58" s="28">
        <f t="shared" si="24"/>
        <v>12573.555</v>
      </c>
      <c r="T58" s="28">
        <v>32219.75</v>
      </c>
      <c r="U58" s="28">
        <f>+(T58/12)</f>
        <v>2684.9791666666665</v>
      </c>
      <c r="V58" s="28">
        <f>+(T58*0.885)</f>
        <v>28514.478750000002</v>
      </c>
      <c r="W58" s="29"/>
      <c r="X58" s="29"/>
      <c r="Y58" s="70">
        <v>15</v>
      </c>
      <c r="Z58" s="28">
        <f t="shared" si="25"/>
        <v>4330.7307692307695</v>
      </c>
      <c r="AA58" s="70">
        <v>20</v>
      </c>
      <c r="AB58" s="28">
        <f t="shared" si="26"/>
        <v>5774.3076923076924</v>
      </c>
      <c r="AC58" s="70">
        <v>3</v>
      </c>
      <c r="AD58" s="72">
        <f t="shared" si="27"/>
        <v>866.14615384615377</v>
      </c>
      <c r="AE58" s="73">
        <v>14</v>
      </c>
      <c r="AF58" s="28">
        <f t="shared" si="28"/>
        <v>4042.0153846153844</v>
      </c>
      <c r="AH58" s="27">
        <f t="shared" si="14"/>
        <v>126227.31351923078</v>
      </c>
    </row>
    <row r="59" spans="1:34" x14ac:dyDescent="0.25">
      <c r="A59" s="88" t="s">
        <v>556</v>
      </c>
      <c r="B59" s="70" t="s">
        <v>545</v>
      </c>
      <c r="C59" s="70" t="s">
        <v>102</v>
      </c>
      <c r="D59" s="70" t="s">
        <v>102</v>
      </c>
      <c r="E59" s="70" t="s">
        <v>552</v>
      </c>
      <c r="F59" s="75">
        <v>44229</v>
      </c>
      <c r="G59" s="74" t="s">
        <v>816</v>
      </c>
      <c r="H59" s="81"/>
      <c r="I59" s="79"/>
      <c r="J59" s="81"/>
      <c r="K59" s="81"/>
      <c r="L59" s="79"/>
      <c r="M59" s="81"/>
      <c r="N59" s="28">
        <v>87836</v>
      </c>
      <c r="O59" s="28">
        <f t="shared" si="20"/>
        <v>1689.1538461538462</v>
      </c>
      <c r="P59" s="28">
        <f t="shared" si="21"/>
        <v>337.83076923076925</v>
      </c>
      <c r="Q59" s="28">
        <f t="shared" si="22"/>
        <v>5445.8320000000003</v>
      </c>
      <c r="R59" s="28">
        <f t="shared" si="23"/>
        <v>1273.6220000000001</v>
      </c>
      <c r="S59" s="28">
        <f t="shared" si="24"/>
        <v>14712.53</v>
      </c>
      <c r="T59" s="28">
        <v>12291.42</v>
      </c>
      <c r="U59" s="77">
        <f>+(T59/12)</f>
        <v>1024.2850000000001</v>
      </c>
      <c r="V59" s="28">
        <f>+(T59*0.885)</f>
        <v>10877.9067</v>
      </c>
      <c r="W59" s="29"/>
      <c r="X59" s="29"/>
      <c r="Y59" s="70">
        <v>15</v>
      </c>
      <c r="Z59" s="28">
        <f t="shared" si="25"/>
        <v>5067.461538461539</v>
      </c>
      <c r="AA59" s="70">
        <v>10</v>
      </c>
      <c r="AB59" s="28">
        <f t="shared" si="26"/>
        <v>3378.3076923076924</v>
      </c>
      <c r="AC59" s="70">
        <v>3</v>
      </c>
      <c r="AD59" s="72">
        <f t="shared" si="27"/>
        <v>1013.4923076923078</v>
      </c>
      <c r="AE59" s="73">
        <v>14</v>
      </c>
      <c r="AF59" s="28">
        <f t="shared" si="28"/>
        <v>4729.6307692307691</v>
      </c>
      <c r="AH59" s="27">
        <f t="shared" si="14"/>
        <v>125213.35223846154</v>
      </c>
    </row>
    <row r="60" spans="1:34" x14ac:dyDescent="0.25">
      <c r="A60" s="88" t="s">
        <v>517</v>
      </c>
      <c r="B60" s="70" t="s">
        <v>518</v>
      </c>
      <c r="C60" s="70" t="s">
        <v>519</v>
      </c>
      <c r="D60" s="70" t="s">
        <v>519</v>
      </c>
      <c r="E60" s="70" t="s">
        <v>552</v>
      </c>
      <c r="F60" s="71">
        <v>35416</v>
      </c>
      <c r="G60" s="74" t="s">
        <v>583</v>
      </c>
      <c r="H60" s="81"/>
      <c r="I60" s="79"/>
      <c r="J60" s="81"/>
      <c r="K60" s="81"/>
      <c r="L60" s="79"/>
      <c r="M60" s="81"/>
      <c r="N60" s="28">
        <v>75066</v>
      </c>
      <c r="O60" s="28">
        <f t="shared" si="20"/>
        <v>1443.5769230769231</v>
      </c>
      <c r="P60" s="28">
        <f t="shared" si="21"/>
        <v>288.71538461538461</v>
      </c>
      <c r="Q60" s="28">
        <f t="shared" si="22"/>
        <v>4654.0919999999996</v>
      </c>
      <c r="R60" s="28">
        <f t="shared" si="23"/>
        <v>1088.4570000000001</v>
      </c>
      <c r="S60" s="28">
        <f t="shared" si="24"/>
        <v>12573.555</v>
      </c>
      <c r="T60" s="28">
        <v>12291.42</v>
      </c>
      <c r="U60" s="77">
        <f>+(T60/12)</f>
        <v>1024.2850000000001</v>
      </c>
      <c r="V60" s="28">
        <f>+(T60*0.885)</f>
        <v>10877.9067</v>
      </c>
      <c r="W60" s="29"/>
      <c r="X60" s="29"/>
      <c r="Y60" s="70">
        <v>15</v>
      </c>
      <c r="Z60" s="28">
        <f t="shared" si="25"/>
        <v>4330.7307692307695</v>
      </c>
      <c r="AA60" s="70">
        <v>25</v>
      </c>
      <c r="AB60" s="28">
        <f t="shared" si="26"/>
        <v>7217.8846153846152</v>
      </c>
      <c r="AC60" s="70">
        <v>3</v>
      </c>
      <c r="AD60" s="72">
        <f t="shared" si="27"/>
        <v>866.14615384615377</v>
      </c>
      <c r="AE60" s="73">
        <v>14</v>
      </c>
      <c r="AF60" s="28">
        <f t="shared" si="28"/>
        <v>4042.0153846153844</v>
      </c>
      <c r="AH60" s="27">
        <f t="shared" si="14"/>
        <v>108590.74146923076</v>
      </c>
    </row>
    <row r="61" spans="1:34" x14ac:dyDescent="0.25">
      <c r="A61" s="89" t="s">
        <v>548</v>
      </c>
      <c r="B61" s="89" t="s">
        <v>549</v>
      </c>
      <c r="C61" s="89" t="s">
        <v>550</v>
      </c>
      <c r="D61" s="89" t="s">
        <v>551</v>
      </c>
      <c r="E61" s="89" t="s">
        <v>552</v>
      </c>
      <c r="F61" s="90">
        <v>39051</v>
      </c>
      <c r="G61" s="89" t="s">
        <v>583</v>
      </c>
      <c r="H61" s="91"/>
      <c r="I61" s="89"/>
      <c r="J61" s="91"/>
      <c r="K61" s="91"/>
      <c r="L61" s="89"/>
      <c r="M61" s="216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89"/>
      <c r="Z61" s="92"/>
      <c r="AA61" s="89"/>
      <c r="AB61" s="92"/>
      <c r="AC61" s="89"/>
      <c r="AD61" s="91"/>
      <c r="AE61" s="93"/>
      <c r="AF61" s="92"/>
      <c r="AH61" s="27" t="s">
        <v>31</v>
      </c>
    </row>
    <row r="62" spans="1:34" x14ac:dyDescent="0.25">
      <c r="A62" s="70" t="s">
        <v>632</v>
      </c>
      <c r="B62" s="70" t="s">
        <v>633</v>
      </c>
      <c r="C62" s="70" t="s">
        <v>33</v>
      </c>
      <c r="D62" s="70" t="s">
        <v>634</v>
      </c>
      <c r="E62" s="79" t="s">
        <v>722</v>
      </c>
      <c r="F62" s="70"/>
      <c r="G62" s="79"/>
      <c r="H62" s="81"/>
      <c r="I62" s="79"/>
      <c r="J62" s="81"/>
      <c r="K62" s="81"/>
      <c r="L62" s="79"/>
      <c r="M62" s="81"/>
      <c r="N62" s="28">
        <v>76167</v>
      </c>
      <c r="O62" s="28">
        <f t="shared" ref="O62:O77" si="29">+(N62/52)</f>
        <v>1464.75</v>
      </c>
      <c r="P62" s="28">
        <f t="shared" ref="P62:P77" si="30">+(O62/5)</f>
        <v>292.95</v>
      </c>
      <c r="Q62" s="28">
        <f t="shared" ref="Q62:Q77" si="31">+(N62*0.062)</f>
        <v>4722.3540000000003</v>
      </c>
      <c r="R62" s="28">
        <f t="shared" ref="R62:R77" si="32">+(N62*0.0145)</f>
        <v>1104.4215000000002</v>
      </c>
      <c r="S62" s="28">
        <f>+(N62*0.1675)</f>
        <v>12757.9725</v>
      </c>
      <c r="T62" s="28">
        <f>+(12*U62)</f>
        <v>25344.840000000004</v>
      </c>
      <c r="U62" s="77">
        <v>2112.0700000000002</v>
      </c>
      <c r="V62" s="28">
        <f>+(T62*0.885)</f>
        <v>22430.183400000005</v>
      </c>
      <c r="W62" s="110"/>
      <c r="X62" s="110"/>
      <c r="Y62" s="70">
        <v>13</v>
      </c>
      <c r="Z62" s="28">
        <f>+(Y62*P62)</f>
        <v>3808.35</v>
      </c>
      <c r="AA62" s="70">
        <v>15</v>
      </c>
      <c r="AB62" s="28">
        <f>+(AA62*P62)</f>
        <v>4394.25</v>
      </c>
      <c r="AC62" s="70">
        <v>3</v>
      </c>
      <c r="AD62" s="72">
        <f>+(AC62*P62)</f>
        <v>878.84999999999991</v>
      </c>
      <c r="AE62" s="73">
        <v>13</v>
      </c>
      <c r="AF62" s="28">
        <f>+(AE62*P62)</f>
        <v>3808.35</v>
      </c>
      <c r="AH62" s="27">
        <f t="shared" ref="AH62:AH79" si="33">+(Z62+X62+V62+S62+R62+Q62+N62)</f>
        <v>120990.28140000001</v>
      </c>
    </row>
    <row r="63" spans="1:34" x14ac:dyDescent="0.25">
      <c r="A63" s="70" t="s">
        <v>607</v>
      </c>
      <c r="B63" s="70" t="s">
        <v>608</v>
      </c>
      <c r="C63" s="70" t="s">
        <v>609</v>
      </c>
      <c r="D63" s="70" t="s">
        <v>589</v>
      </c>
      <c r="E63" s="79" t="s">
        <v>722</v>
      </c>
      <c r="F63" s="71">
        <v>42009</v>
      </c>
      <c r="G63" s="79"/>
      <c r="H63" s="81"/>
      <c r="I63" s="79"/>
      <c r="J63" s="81"/>
      <c r="K63" s="81"/>
      <c r="L63" s="79"/>
      <c r="M63" s="81"/>
      <c r="N63" s="100">
        <v>93000</v>
      </c>
      <c r="O63" s="28">
        <f t="shared" si="29"/>
        <v>1788.4615384615386</v>
      </c>
      <c r="P63" s="28">
        <f t="shared" si="30"/>
        <v>357.69230769230774</v>
      </c>
      <c r="Q63" s="28">
        <f t="shared" si="31"/>
        <v>5766</v>
      </c>
      <c r="R63" s="28">
        <f t="shared" si="32"/>
        <v>1348.5</v>
      </c>
      <c r="S63" s="28">
        <f>+(N63*0.1675)</f>
        <v>15577.500000000002</v>
      </c>
      <c r="T63" s="28">
        <f>+(12*U63)</f>
        <v>11819.16</v>
      </c>
      <c r="U63" s="77">
        <v>984.93</v>
      </c>
      <c r="V63" s="28">
        <f>+(T63*1)</f>
        <v>11819.16</v>
      </c>
      <c r="W63" s="110"/>
      <c r="X63" s="110"/>
      <c r="Y63" s="70">
        <v>13</v>
      </c>
      <c r="Z63" s="28">
        <f>+(Y63*P63)</f>
        <v>4650.0000000000009</v>
      </c>
      <c r="AA63" s="70">
        <v>15</v>
      </c>
      <c r="AB63" s="28">
        <f>+(AA63*P63)</f>
        <v>5365.3846153846162</v>
      </c>
      <c r="AC63" s="70">
        <v>4</v>
      </c>
      <c r="AD63" s="72">
        <f>+(AC63*P63)</f>
        <v>1430.7692307692309</v>
      </c>
      <c r="AE63" s="73">
        <v>13</v>
      </c>
      <c r="AF63" s="28">
        <f>+(AE63*P63)</f>
        <v>4650.0000000000009</v>
      </c>
      <c r="AH63" s="27">
        <f t="shared" si="33"/>
        <v>132161.16</v>
      </c>
    </row>
    <row r="64" spans="1:34" x14ac:dyDescent="0.25">
      <c r="A64" s="70" t="s">
        <v>613</v>
      </c>
      <c r="B64" s="70" t="s">
        <v>608</v>
      </c>
      <c r="C64" s="70" t="s">
        <v>609</v>
      </c>
      <c r="D64" s="70" t="s">
        <v>614</v>
      </c>
      <c r="E64" s="79" t="s">
        <v>722</v>
      </c>
      <c r="F64" s="71">
        <v>33547</v>
      </c>
      <c r="G64" s="79"/>
      <c r="H64" s="81"/>
      <c r="I64" s="79"/>
      <c r="J64" s="81"/>
      <c r="K64" s="81"/>
      <c r="L64" s="79"/>
      <c r="M64" s="81"/>
      <c r="N64" s="100">
        <v>85000</v>
      </c>
      <c r="O64" s="28">
        <f t="shared" si="29"/>
        <v>1634.6153846153845</v>
      </c>
      <c r="P64" s="28">
        <f t="shared" si="30"/>
        <v>326.92307692307691</v>
      </c>
      <c r="Q64" s="28">
        <f t="shared" si="31"/>
        <v>5270</v>
      </c>
      <c r="R64" s="28">
        <f t="shared" si="32"/>
        <v>1232.5</v>
      </c>
      <c r="S64" s="28">
        <f>+(N64*0.1675)</f>
        <v>14237.5</v>
      </c>
      <c r="T64" s="28">
        <f>+(12*U64)</f>
        <v>30980.52</v>
      </c>
      <c r="U64" s="77">
        <v>2581.71</v>
      </c>
      <c r="V64" s="28">
        <f>+(T64*1)</f>
        <v>30980.52</v>
      </c>
      <c r="W64" s="110"/>
      <c r="X64" s="110"/>
      <c r="Y64" s="70">
        <v>13</v>
      </c>
      <c r="Z64" s="28">
        <f>+(Y64*P64)</f>
        <v>4250</v>
      </c>
      <c r="AA64" s="70">
        <v>25</v>
      </c>
      <c r="AB64" s="28">
        <f>+(AA64*P64)</f>
        <v>8173.0769230769229</v>
      </c>
      <c r="AC64" s="70">
        <v>4</v>
      </c>
      <c r="AD64" s="72">
        <f>+(AC64*P64)</f>
        <v>1307.6923076923076</v>
      </c>
      <c r="AE64" s="73">
        <v>13</v>
      </c>
      <c r="AF64" s="28">
        <f>+(AE64*P64)</f>
        <v>4250</v>
      </c>
      <c r="AH64" s="27">
        <f t="shared" si="33"/>
        <v>140970.52000000002</v>
      </c>
    </row>
    <row r="65" spans="1:34" x14ac:dyDescent="0.25">
      <c r="A65" s="70" t="s">
        <v>610</v>
      </c>
      <c r="B65" s="70" t="s">
        <v>611</v>
      </c>
      <c r="C65" s="70" t="s">
        <v>609</v>
      </c>
      <c r="D65" s="70" t="s">
        <v>612</v>
      </c>
      <c r="E65" s="79" t="s">
        <v>722</v>
      </c>
      <c r="F65" s="71">
        <v>39279</v>
      </c>
      <c r="G65" s="79"/>
      <c r="H65" s="81"/>
      <c r="I65" s="79"/>
      <c r="J65" s="81"/>
      <c r="K65" s="81"/>
      <c r="L65" s="79"/>
      <c r="M65" s="81"/>
      <c r="N65" s="100">
        <v>85000</v>
      </c>
      <c r="O65" s="28">
        <f t="shared" si="29"/>
        <v>1634.6153846153845</v>
      </c>
      <c r="P65" s="28">
        <f t="shared" si="30"/>
        <v>326.92307692307691</v>
      </c>
      <c r="Q65" s="28">
        <f t="shared" si="31"/>
        <v>5270</v>
      </c>
      <c r="R65" s="28">
        <f t="shared" si="32"/>
        <v>1232.5</v>
      </c>
      <c r="S65" s="28">
        <f>+(N65*0.1675)</f>
        <v>14237.5</v>
      </c>
      <c r="T65" s="28">
        <f>+(12*U65)</f>
        <v>30980.52</v>
      </c>
      <c r="U65" s="77">
        <v>2581.71</v>
      </c>
      <c r="V65" s="28">
        <f>+(T65*1)</f>
        <v>30980.52</v>
      </c>
      <c r="W65" s="110"/>
      <c r="X65" s="110"/>
      <c r="Y65" s="70">
        <v>13</v>
      </c>
      <c r="Z65" s="28">
        <f>+(Y65*P65)</f>
        <v>4250</v>
      </c>
      <c r="AA65" s="70">
        <v>20</v>
      </c>
      <c r="AB65" s="28">
        <f>+(AA65*P65)</f>
        <v>6538.4615384615381</v>
      </c>
      <c r="AC65" s="70">
        <v>4</v>
      </c>
      <c r="AD65" s="72">
        <f>+(AC65*P65)</f>
        <v>1307.6923076923076</v>
      </c>
      <c r="AE65" s="73">
        <v>13</v>
      </c>
      <c r="AF65" s="28">
        <f>+(AE65*P65)</f>
        <v>4250</v>
      </c>
      <c r="AH65" s="27">
        <f t="shared" si="33"/>
        <v>140970.52000000002</v>
      </c>
    </row>
    <row r="66" spans="1:34" x14ac:dyDescent="0.25">
      <c r="A66" s="70" t="s">
        <v>540</v>
      </c>
      <c r="B66" s="70" t="s">
        <v>541</v>
      </c>
      <c r="C66" s="70" t="s">
        <v>542</v>
      </c>
      <c r="D66" s="70" t="s">
        <v>543</v>
      </c>
      <c r="E66" s="79" t="s">
        <v>722</v>
      </c>
      <c r="F66" s="71">
        <v>41619</v>
      </c>
      <c r="G66" s="79"/>
      <c r="H66" s="81"/>
      <c r="I66" s="79"/>
      <c r="J66" s="81"/>
      <c r="K66" s="81"/>
      <c r="L66" s="79"/>
      <c r="M66" s="81"/>
      <c r="N66" s="28">
        <v>99000</v>
      </c>
      <c r="O66" s="28">
        <f t="shared" si="29"/>
        <v>1903.8461538461538</v>
      </c>
      <c r="P66" s="28">
        <f t="shared" si="30"/>
        <v>380.76923076923077</v>
      </c>
      <c r="Q66" s="28">
        <f t="shared" si="31"/>
        <v>6138</v>
      </c>
      <c r="R66" s="28">
        <f t="shared" si="32"/>
        <v>1435.5</v>
      </c>
      <c r="S66" s="28">
        <f>+(N66*0.1675)</f>
        <v>16582.5</v>
      </c>
      <c r="T66" s="28">
        <f>+(12*U66)</f>
        <v>11819.16</v>
      </c>
      <c r="U66" s="77">
        <v>984.93</v>
      </c>
      <c r="V66" s="28">
        <f>+(T66*0.885)</f>
        <v>10459.9566</v>
      </c>
      <c r="W66" s="110"/>
      <c r="X66" s="110"/>
      <c r="Y66" s="70">
        <v>13</v>
      </c>
      <c r="Z66" s="28">
        <f>+(Y66*P66)</f>
        <v>4950</v>
      </c>
      <c r="AA66" s="70">
        <v>20</v>
      </c>
      <c r="AB66" s="28">
        <f>+(AA66*P66)</f>
        <v>7615.3846153846152</v>
      </c>
      <c r="AC66" s="70">
        <v>3</v>
      </c>
      <c r="AD66" s="72">
        <f>+(AC66*P66)</f>
        <v>1142.3076923076924</v>
      </c>
      <c r="AE66" s="73">
        <v>13</v>
      </c>
      <c r="AF66" s="28">
        <f>+(AE66*P66)</f>
        <v>4950</v>
      </c>
      <c r="AH66" s="27">
        <f t="shared" si="33"/>
        <v>138565.9566</v>
      </c>
    </row>
    <row r="67" spans="1:34" x14ac:dyDescent="0.25">
      <c r="A67" s="70" t="s">
        <v>537</v>
      </c>
      <c r="B67" s="70" t="s">
        <v>538</v>
      </c>
      <c r="C67" s="70" t="s">
        <v>84</v>
      </c>
      <c r="D67" s="70" t="s">
        <v>539</v>
      </c>
      <c r="E67" s="79" t="s">
        <v>722</v>
      </c>
      <c r="F67" s="71">
        <v>33051</v>
      </c>
      <c r="G67" s="79"/>
      <c r="H67" s="81"/>
      <c r="I67" s="79"/>
      <c r="J67" s="81"/>
      <c r="K67" s="81"/>
      <c r="L67" s="79"/>
      <c r="M67" s="81"/>
      <c r="N67" s="28">
        <v>75000</v>
      </c>
      <c r="O67" s="28">
        <f t="shared" si="29"/>
        <v>1442.3076923076924</v>
      </c>
      <c r="P67" s="28">
        <f t="shared" si="30"/>
        <v>288.46153846153845</v>
      </c>
      <c r="Q67" s="28">
        <f t="shared" si="31"/>
        <v>4650</v>
      </c>
      <c r="R67" s="28">
        <f t="shared" si="32"/>
        <v>1087.5</v>
      </c>
      <c r="S67" s="110">
        <v>0</v>
      </c>
      <c r="T67" s="110" t="s">
        <v>31</v>
      </c>
      <c r="U67" s="110" t="s">
        <v>31</v>
      </c>
      <c r="V67" s="110">
        <v>0</v>
      </c>
      <c r="W67" s="110" t="s">
        <v>31</v>
      </c>
      <c r="X67" s="110">
        <v>0</v>
      </c>
      <c r="Y67" s="112" t="s">
        <v>31</v>
      </c>
      <c r="Z67" s="110">
        <v>0</v>
      </c>
      <c r="AA67" s="112" t="s">
        <v>31</v>
      </c>
      <c r="AB67" s="110" t="s">
        <v>31</v>
      </c>
      <c r="AC67" s="112" t="s">
        <v>31</v>
      </c>
      <c r="AD67" s="113" t="s">
        <v>31</v>
      </c>
      <c r="AE67" s="114" t="s">
        <v>31</v>
      </c>
      <c r="AF67" s="110" t="s">
        <v>31</v>
      </c>
      <c r="AH67" s="27">
        <f t="shared" si="33"/>
        <v>80737.5</v>
      </c>
    </row>
    <row r="68" spans="1:34" x14ac:dyDescent="0.25">
      <c r="A68" s="70" t="s">
        <v>505</v>
      </c>
      <c r="B68" s="70" t="s">
        <v>506</v>
      </c>
      <c r="C68" s="70" t="s">
        <v>84</v>
      </c>
      <c r="D68" s="70" t="s">
        <v>499</v>
      </c>
      <c r="E68" s="79" t="s">
        <v>722</v>
      </c>
      <c r="F68" s="75">
        <v>44116</v>
      </c>
      <c r="G68" s="79"/>
      <c r="H68" s="81"/>
      <c r="I68" s="79"/>
      <c r="J68" s="81"/>
      <c r="K68" s="81"/>
      <c r="L68" s="79"/>
      <c r="M68" s="81"/>
      <c r="N68" s="28">
        <v>140760</v>
      </c>
      <c r="O68" s="28">
        <f t="shared" si="29"/>
        <v>2706.9230769230771</v>
      </c>
      <c r="P68" s="28">
        <f t="shared" si="30"/>
        <v>541.38461538461547</v>
      </c>
      <c r="Q68" s="28">
        <f t="shared" si="31"/>
        <v>8727.1200000000008</v>
      </c>
      <c r="R68" s="28">
        <f t="shared" si="32"/>
        <v>2041.0200000000002</v>
      </c>
      <c r="S68" s="28">
        <f t="shared" ref="S68:S74" si="34">+(N68*0.1675)</f>
        <v>23577.300000000003</v>
      </c>
      <c r="T68" s="110">
        <f t="shared" ref="T68:T74" si="35">+(12*U68)</f>
        <v>0</v>
      </c>
      <c r="U68" s="110"/>
      <c r="V68" s="110"/>
      <c r="W68" s="110"/>
      <c r="X68" s="28">
        <v>10000</v>
      </c>
      <c r="Y68" s="70">
        <v>12</v>
      </c>
      <c r="Z68" s="28">
        <f t="shared" ref="Z68:Z74" si="36">+(Y68*P68)</f>
        <v>6496.6153846153857</v>
      </c>
      <c r="AA68" s="70">
        <v>20</v>
      </c>
      <c r="AB68" s="28">
        <f>+(AA68*P68)</f>
        <v>10827.692307692309</v>
      </c>
      <c r="AC68" s="70">
        <v>4</v>
      </c>
      <c r="AD68" s="72">
        <f>+(AC68*P68)</f>
        <v>2165.5384615384619</v>
      </c>
      <c r="AE68" s="73">
        <v>13</v>
      </c>
      <c r="AF68" s="28">
        <f>+(AE68*P68)</f>
        <v>7038.0000000000009</v>
      </c>
      <c r="AH68" s="27">
        <f t="shared" si="33"/>
        <v>191602.05538461538</v>
      </c>
    </row>
    <row r="69" spans="1:34" x14ac:dyDescent="0.25">
      <c r="A69" s="70" t="s">
        <v>534</v>
      </c>
      <c r="B69" s="70" t="s">
        <v>535</v>
      </c>
      <c r="C69" s="70" t="s">
        <v>84</v>
      </c>
      <c r="D69" s="70" t="s">
        <v>536</v>
      </c>
      <c r="E69" s="79" t="s">
        <v>722</v>
      </c>
      <c r="F69" s="71">
        <v>41610</v>
      </c>
      <c r="G69" s="79"/>
      <c r="H69" s="81"/>
      <c r="I69" s="79"/>
      <c r="J69" s="81"/>
      <c r="K69" s="81"/>
      <c r="L69" s="79"/>
      <c r="M69" s="81"/>
      <c r="N69" s="28">
        <v>23679</v>
      </c>
      <c r="O69" s="28">
        <f t="shared" si="29"/>
        <v>455.36538461538464</v>
      </c>
      <c r="P69" s="28">
        <f t="shared" si="30"/>
        <v>91.073076923076925</v>
      </c>
      <c r="Q69" s="28">
        <f t="shared" si="31"/>
        <v>1468.098</v>
      </c>
      <c r="R69" s="28">
        <f t="shared" si="32"/>
        <v>343.34550000000002</v>
      </c>
      <c r="S69" s="28">
        <f t="shared" si="34"/>
        <v>3966.2325000000001</v>
      </c>
      <c r="T69" s="110">
        <f t="shared" si="35"/>
        <v>0</v>
      </c>
      <c r="U69" s="110"/>
      <c r="V69" s="110"/>
      <c r="W69" s="110"/>
      <c r="X69" s="110"/>
      <c r="Y69" s="112"/>
      <c r="Z69" s="110">
        <f t="shared" si="36"/>
        <v>0</v>
      </c>
      <c r="AA69" s="112"/>
      <c r="AB69" s="110"/>
      <c r="AC69" s="112"/>
      <c r="AD69" s="113">
        <f>+(AC69*P69)</f>
        <v>0</v>
      </c>
      <c r="AE69" s="114"/>
      <c r="AF69" s="110">
        <f>+(AE69*P69)</f>
        <v>0</v>
      </c>
      <c r="AH69" s="27">
        <f t="shared" si="33"/>
        <v>29456.675999999999</v>
      </c>
    </row>
    <row r="70" spans="1:34" x14ac:dyDescent="0.25">
      <c r="A70" s="70" t="s">
        <v>630</v>
      </c>
      <c r="B70" s="70" t="s">
        <v>631</v>
      </c>
      <c r="C70" s="70" t="s">
        <v>472</v>
      </c>
      <c r="D70" s="70" t="s">
        <v>472</v>
      </c>
      <c r="E70" s="79" t="s">
        <v>722</v>
      </c>
      <c r="F70" s="71">
        <v>37803</v>
      </c>
      <c r="G70" s="79"/>
      <c r="H70" s="81"/>
      <c r="I70" s="79"/>
      <c r="J70" s="81"/>
      <c r="K70" s="81"/>
      <c r="L70" s="79"/>
      <c r="M70" s="81"/>
      <c r="N70" s="28">
        <v>68583</v>
      </c>
      <c r="O70" s="28">
        <f t="shared" si="29"/>
        <v>1318.9038461538462</v>
      </c>
      <c r="P70" s="28">
        <f t="shared" si="30"/>
        <v>263.78076923076924</v>
      </c>
      <c r="Q70" s="28">
        <f t="shared" si="31"/>
        <v>4252.1459999999997</v>
      </c>
      <c r="R70" s="28">
        <f t="shared" si="32"/>
        <v>994.45350000000008</v>
      </c>
      <c r="S70" s="28">
        <f t="shared" si="34"/>
        <v>11487.6525</v>
      </c>
      <c r="T70" s="110">
        <f t="shared" si="35"/>
        <v>0</v>
      </c>
      <c r="U70" s="110"/>
      <c r="V70" s="110"/>
      <c r="W70" s="110"/>
      <c r="X70" s="77">
        <v>4000</v>
      </c>
      <c r="Y70" s="112"/>
      <c r="Z70" s="110">
        <f t="shared" si="36"/>
        <v>0</v>
      </c>
      <c r="AA70" s="112"/>
      <c r="AB70" s="110"/>
      <c r="AC70" s="112"/>
      <c r="AD70" s="113">
        <f>+(AC70*P70)</f>
        <v>0</v>
      </c>
      <c r="AE70" s="114"/>
      <c r="AF70" s="110">
        <f>+(AE70*P70)</f>
        <v>0</v>
      </c>
      <c r="AH70" s="27">
        <f t="shared" si="33"/>
        <v>89317.252000000008</v>
      </c>
    </row>
    <row r="71" spans="1:34" x14ac:dyDescent="0.25">
      <c r="A71" s="70" t="s">
        <v>544</v>
      </c>
      <c r="B71" s="70" t="s">
        <v>545</v>
      </c>
      <c r="C71" s="70" t="s">
        <v>546</v>
      </c>
      <c r="D71" s="70" t="s">
        <v>547</v>
      </c>
      <c r="E71" s="79" t="s">
        <v>722</v>
      </c>
      <c r="F71" s="71">
        <v>41786</v>
      </c>
      <c r="G71" s="79"/>
      <c r="H71" s="81"/>
      <c r="I71" s="79"/>
      <c r="J71" s="81"/>
      <c r="K71" s="81"/>
      <c r="L71" s="79"/>
      <c r="M71" s="81"/>
      <c r="N71" s="28">
        <v>53690</v>
      </c>
      <c r="O71" s="28">
        <f t="shared" si="29"/>
        <v>1032.5</v>
      </c>
      <c r="P71" s="28">
        <f t="shared" si="30"/>
        <v>206.5</v>
      </c>
      <c r="Q71" s="28">
        <f t="shared" si="31"/>
        <v>3328.78</v>
      </c>
      <c r="R71" s="28">
        <f t="shared" si="32"/>
        <v>778.505</v>
      </c>
      <c r="S71" s="28">
        <f t="shared" si="34"/>
        <v>8993.0750000000007</v>
      </c>
      <c r="T71" s="110">
        <f t="shared" si="35"/>
        <v>0</v>
      </c>
      <c r="U71" s="110"/>
      <c r="V71" s="110"/>
      <c r="W71" s="110"/>
      <c r="X71" s="110"/>
      <c r="Y71" s="112"/>
      <c r="Z71" s="110">
        <f t="shared" si="36"/>
        <v>0</v>
      </c>
      <c r="AA71" s="112"/>
      <c r="AB71" s="110"/>
      <c r="AC71" s="112"/>
      <c r="AD71" s="113">
        <f>+(AC71*P71)</f>
        <v>0</v>
      </c>
      <c r="AE71" s="114"/>
      <c r="AF71" s="110">
        <f>+(AE71*P71)</f>
        <v>0</v>
      </c>
      <c r="AH71" s="27">
        <f t="shared" si="33"/>
        <v>66790.36</v>
      </c>
    </row>
    <row r="72" spans="1:34" x14ac:dyDescent="0.25">
      <c r="A72" s="70" t="s">
        <v>514</v>
      </c>
      <c r="B72" s="70" t="s">
        <v>515</v>
      </c>
      <c r="C72" s="70" t="s">
        <v>509</v>
      </c>
      <c r="D72" s="70" t="s">
        <v>516</v>
      </c>
      <c r="E72" s="79" t="s">
        <v>722</v>
      </c>
      <c r="F72" s="71">
        <v>41609</v>
      </c>
      <c r="G72" s="79"/>
      <c r="H72" s="81"/>
      <c r="I72" s="79"/>
      <c r="J72" s="81"/>
      <c r="K72" s="81"/>
      <c r="L72" s="79"/>
      <c r="M72" s="81"/>
      <c r="N72" s="28">
        <v>75000</v>
      </c>
      <c r="O72" s="28">
        <f t="shared" si="29"/>
        <v>1442.3076923076924</v>
      </c>
      <c r="P72" s="28">
        <f t="shared" si="30"/>
        <v>288.46153846153845</v>
      </c>
      <c r="Q72" s="28">
        <f t="shared" si="31"/>
        <v>4650</v>
      </c>
      <c r="R72" s="28">
        <f t="shared" si="32"/>
        <v>1087.5</v>
      </c>
      <c r="S72" s="28">
        <f t="shared" si="34"/>
        <v>12562.5</v>
      </c>
      <c r="T72" s="28">
        <f t="shared" si="35"/>
        <v>30980.52</v>
      </c>
      <c r="U72" s="28">
        <v>2581.71</v>
      </c>
      <c r="V72" s="28">
        <f>+(T72*0.885)</f>
        <v>27417.760200000001</v>
      </c>
      <c r="W72" s="29"/>
      <c r="X72" s="29"/>
      <c r="Y72" s="70">
        <v>12</v>
      </c>
      <c r="Z72" s="28">
        <f t="shared" si="36"/>
        <v>3461.5384615384614</v>
      </c>
      <c r="AA72" s="70">
        <v>15</v>
      </c>
      <c r="AB72" s="28">
        <f>+(AA72*P72)</f>
        <v>4326.9230769230771</v>
      </c>
      <c r="AC72" s="70">
        <v>3</v>
      </c>
      <c r="AD72" s="72">
        <f>+(AC72*P72)</f>
        <v>865.38461538461536</v>
      </c>
      <c r="AE72" s="73">
        <v>13</v>
      </c>
      <c r="AF72" s="28">
        <f>+(AE72*P72)</f>
        <v>3750</v>
      </c>
      <c r="AH72" s="27">
        <f t="shared" si="33"/>
        <v>124179.29866153846</v>
      </c>
    </row>
    <row r="73" spans="1:34" x14ac:dyDescent="0.25">
      <c r="A73" s="70" t="s">
        <v>511</v>
      </c>
      <c r="B73" s="70" t="s">
        <v>512</v>
      </c>
      <c r="C73" s="70" t="s">
        <v>509</v>
      </c>
      <c r="D73" s="70" t="s">
        <v>513</v>
      </c>
      <c r="E73" s="79" t="s">
        <v>722</v>
      </c>
      <c r="F73" s="71">
        <v>42821</v>
      </c>
      <c r="G73" s="79"/>
      <c r="H73" s="81"/>
      <c r="I73" s="79"/>
      <c r="J73" s="81"/>
      <c r="K73" s="81"/>
      <c r="L73" s="79"/>
      <c r="M73" s="81"/>
      <c r="N73" s="28">
        <v>36500</v>
      </c>
      <c r="O73" s="28">
        <f t="shared" si="29"/>
        <v>701.92307692307691</v>
      </c>
      <c r="P73" s="28">
        <f t="shared" si="30"/>
        <v>140.38461538461539</v>
      </c>
      <c r="Q73" s="28">
        <f t="shared" si="31"/>
        <v>2263</v>
      </c>
      <c r="R73" s="28">
        <f t="shared" si="32"/>
        <v>529.25</v>
      </c>
      <c r="S73" s="28">
        <f t="shared" si="34"/>
        <v>6113.75</v>
      </c>
      <c r="T73" s="29">
        <f t="shared" si="35"/>
        <v>0</v>
      </c>
      <c r="U73" s="29"/>
      <c r="V73" s="29"/>
      <c r="W73" s="29"/>
      <c r="X73" s="29"/>
      <c r="Y73" s="112"/>
      <c r="Z73" s="110">
        <f t="shared" si="36"/>
        <v>0</v>
      </c>
      <c r="AA73" s="112"/>
      <c r="AB73" s="110"/>
      <c r="AC73" s="112" t="s">
        <v>31</v>
      </c>
      <c r="AD73" s="113" t="s">
        <v>31</v>
      </c>
      <c r="AE73" s="114" t="s">
        <v>31</v>
      </c>
      <c r="AF73" s="110" t="s">
        <v>31</v>
      </c>
      <c r="AH73" s="27">
        <f t="shared" si="33"/>
        <v>45406</v>
      </c>
    </row>
    <row r="74" spans="1:34" x14ac:dyDescent="0.25">
      <c r="A74" s="70" t="s">
        <v>507</v>
      </c>
      <c r="B74" s="70" t="s">
        <v>508</v>
      </c>
      <c r="C74" s="70" t="s">
        <v>509</v>
      </c>
      <c r="D74" s="70" t="s">
        <v>510</v>
      </c>
      <c r="E74" s="79" t="s">
        <v>722</v>
      </c>
      <c r="F74" s="71">
        <v>42373</v>
      </c>
      <c r="G74" s="79"/>
      <c r="H74" s="81"/>
      <c r="I74" s="79"/>
      <c r="J74" s="81"/>
      <c r="K74" s="81"/>
      <c r="L74" s="79"/>
      <c r="M74" s="81"/>
      <c r="N74" s="28">
        <v>32500</v>
      </c>
      <c r="O74" s="28">
        <f t="shared" si="29"/>
        <v>625</v>
      </c>
      <c r="P74" s="28">
        <f t="shared" si="30"/>
        <v>125</v>
      </c>
      <c r="Q74" s="28">
        <f t="shared" si="31"/>
        <v>2015</v>
      </c>
      <c r="R74" s="28">
        <f t="shared" si="32"/>
        <v>471.25</v>
      </c>
      <c r="S74" s="28">
        <f t="shared" si="34"/>
        <v>5443.75</v>
      </c>
      <c r="T74" s="29">
        <f t="shared" si="35"/>
        <v>0</v>
      </c>
      <c r="U74" s="29"/>
      <c r="V74" s="29"/>
      <c r="W74" s="29"/>
      <c r="X74" s="77">
        <v>4000</v>
      </c>
      <c r="Y74" s="70">
        <v>12</v>
      </c>
      <c r="Z74" s="28">
        <f t="shared" si="36"/>
        <v>1500</v>
      </c>
      <c r="AA74" s="70">
        <v>10</v>
      </c>
      <c r="AB74" s="28">
        <f>+(AA74*P74)</f>
        <v>1250</v>
      </c>
      <c r="AC74" s="70">
        <v>3</v>
      </c>
      <c r="AD74" s="72">
        <f>+(AC74*P74)</f>
        <v>375</v>
      </c>
      <c r="AE74" s="73">
        <v>13</v>
      </c>
      <c r="AF74" s="28">
        <f>+(AE74*P74)</f>
        <v>1625</v>
      </c>
      <c r="AH74" s="27">
        <f t="shared" si="33"/>
        <v>45930</v>
      </c>
    </row>
    <row r="75" spans="1:34" x14ac:dyDescent="0.25">
      <c r="A75" s="70" t="s">
        <v>571</v>
      </c>
      <c r="B75" s="70" t="s">
        <v>572</v>
      </c>
      <c r="C75" s="70" t="s">
        <v>573</v>
      </c>
      <c r="D75" s="70" t="s">
        <v>573</v>
      </c>
      <c r="E75" s="79" t="s">
        <v>722</v>
      </c>
      <c r="F75" s="71">
        <v>35451</v>
      </c>
      <c r="G75" s="79"/>
      <c r="H75" s="81"/>
      <c r="I75" s="79"/>
      <c r="J75" s="81"/>
      <c r="K75" s="81"/>
      <c r="L75" s="79"/>
      <c r="M75" s="81"/>
      <c r="N75" s="28">
        <v>14997</v>
      </c>
      <c r="O75" s="28">
        <f t="shared" si="29"/>
        <v>288.40384615384613</v>
      </c>
      <c r="P75" s="28">
        <f t="shared" si="30"/>
        <v>57.680769230769229</v>
      </c>
      <c r="Q75" s="28">
        <f t="shared" si="31"/>
        <v>929.81399999999996</v>
      </c>
      <c r="R75" s="28">
        <f t="shared" si="32"/>
        <v>217.45650000000001</v>
      </c>
      <c r="S75" s="29">
        <v>0</v>
      </c>
      <c r="T75" s="29"/>
      <c r="U75" s="29"/>
      <c r="V75" s="29">
        <v>0</v>
      </c>
      <c r="W75" s="29"/>
      <c r="X75" s="29">
        <v>0</v>
      </c>
      <c r="Y75" s="79"/>
      <c r="Z75" s="29">
        <v>0</v>
      </c>
      <c r="AA75" s="79"/>
      <c r="AB75" s="29"/>
      <c r="AC75" s="79"/>
      <c r="AD75" s="81"/>
      <c r="AE75" s="82"/>
      <c r="AF75" s="29"/>
      <c r="AH75" s="27">
        <f t="shared" si="33"/>
        <v>16144.270500000001</v>
      </c>
    </row>
    <row r="76" spans="1:34" x14ac:dyDescent="0.25">
      <c r="A76" s="70" t="s">
        <v>574</v>
      </c>
      <c r="B76" s="70" t="s">
        <v>545</v>
      </c>
      <c r="C76" s="70" t="s">
        <v>573</v>
      </c>
      <c r="D76" s="70" t="s">
        <v>573</v>
      </c>
      <c r="E76" s="79" t="s">
        <v>722</v>
      </c>
      <c r="F76" s="71">
        <v>43467</v>
      </c>
      <c r="G76" s="79"/>
      <c r="H76" s="81"/>
      <c r="I76" s="79"/>
      <c r="J76" s="81"/>
      <c r="K76" s="81"/>
      <c r="L76" s="79"/>
      <c r="M76" s="81"/>
      <c r="N76" s="28">
        <v>14997</v>
      </c>
      <c r="O76" s="28">
        <f t="shared" si="29"/>
        <v>288.40384615384613</v>
      </c>
      <c r="P76" s="28">
        <f t="shared" si="30"/>
        <v>57.680769230769229</v>
      </c>
      <c r="Q76" s="28">
        <f t="shared" si="31"/>
        <v>929.81399999999996</v>
      </c>
      <c r="R76" s="28">
        <f t="shared" si="32"/>
        <v>217.45650000000001</v>
      </c>
      <c r="S76" s="29">
        <v>0</v>
      </c>
      <c r="T76" s="29"/>
      <c r="U76" s="29"/>
      <c r="V76" s="29">
        <v>0</v>
      </c>
      <c r="W76" s="29"/>
      <c r="X76" s="29">
        <v>0</v>
      </c>
      <c r="Y76" s="79"/>
      <c r="Z76" s="29">
        <v>0</v>
      </c>
      <c r="AA76" s="79"/>
      <c r="AB76" s="29"/>
      <c r="AC76" s="79"/>
      <c r="AD76" s="81"/>
      <c r="AE76" s="82"/>
      <c r="AF76" s="29"/>
      <c r="AH76" s="27">
        <f t="shared" si="33"/>
        <v>16144.270500000001</v>
      </c>
    </row>
    <row r="77" spans="1:34" x14ac:dyDescent="0.25">
      <c r="A77" s="70" t="s">
        <v>575</v>
      </c>
      <c r="B77" s="70" t="s">
        <v>576</v>
      </c>
      <c r="C77" s="70" t="s">
        <v>577</v>
      </c>
      <c r="D77" s="70" t="s">
        <v>577</v>
      </c>
      <c r="E77" s="79" t="s">
        <v>722</v>
      </c>
      <c r="F77" s="71">
        <v>43836</v>
      </c>
      <c r="G77" s="79"/>
      <c r="H77" s="81"/>
      <c r="I77" s="79"/>
      <c r="J77" s="81"/>
      <c r="K77" s="81"/>
      <c r="L77" s="79"/>
      <c r="M77" s="81"/>
      <c r="N77" s="28">
        <v>73440</v>
      </c>
      <c r="O77" s="28">
        <f t="shared" si="29"/>
        <v>1412.3076923076924</v>
      </c>
      <c r="P77" s="28">
        <f t="shared" si="30"/>
        <v>282.46153846153845</v>
      </c>
      <c r="Q77" s="28">
        <f t="shared" si="31"/>
        <v>4553.28</v>
      </c>
      <c r="R77" s="28">
        <f t="shared" si="32"/>
        <v>1064.8800000000001</v>
      </c>
      <c r="S77" s="28">
        <f>+(N77*0.1675)</f>
        <v>12301.2</v>
      </c>
      <c r="T77" s="29">
        <f>+(12*U77)</f>
        <v>0</v>
      </c>
      <c r="U77" s="29"/>
      <c r="V77" s="29"/>
      <c r="W77" s="29"/>
      <c r="X77" s="28">
        <v>4000</v>
      </c>
      <c r="Y77" s="70">
        <v>12</v>
      </c>
      <c r="Z77" s="28">
        <f>+(Y77*P77)</f>
        <v>3389.5384615384614</v>
      </c>
      <c r="AA77" s="70">
        <v>10</v>
      </c>
      <c r="AB77" s="28">
        <f>+(AA77*P77)</f>
        <v>2824.6153846153848</v>
      </c>
      <c r="AC77" s="70">
        <v>3</v>
      </c>
      <c r="AD77" s="72">
        <f>+(AC77*P77)</f>
        <v>847.38461538461536</v>
      </c>
      <c r="AE77" s="73">
        <v>13</v>
      </c>
      <c r="AF77" s="28">
        <f>+(AE77*P77)</f>
        <v>3672</v>
      </c>
      <c r="AH77" s="27">
        <f t="shared" si="33"/>
        <v>98748.898461538454</v>
      </c>
    </row>
    <row r="78" spans="1:34" x14ac:dyDescent="0.25">
      <c r="A78" s="89" t="s">
        <v>626</v>
      </c>
      <c r="B78" s="89" t="s">
        <v>627</v>
      </c>
      <c r="C78" s="89" t="s">
        <v>550</v>
      </c>
      <c r="D78" s="89" t="s">
        <v>628</v>
      </c>
      <c r="E78" s="89" t="s">
        <v>722</v>
      </c>
      <c r="F78" s="90">
        <v>41190</v>
      </c>
      <c r="G78" s="89"/>
      <c r="H78" s="91"/>
      <c r="I78" s="89"/>
      <c r="J78" s="91"/>
      <c r="K78" s="91"/>
      <c r="L78" s="89"/>
      <c r="M78" s="91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89"/>
      <c r="Z78" s="92"/>
      <c r="AA78" s="89"/>
      <c r="AB78" s="92"/>
      <c r="AC78" s="89"/>
      <c r="AD78" s="91"/>
      <c r="AE78" s="93"/>
      <c r="AF78" s="92"/>
      <c r="AH78" s="27">
        <f t="shared" si="33"/>
        <v>0</v>
      </c>
    </row>
    <row r="79" spans="1:34" x14ac:dyDescent="0.25">
      <c r="A79" s="89" t="s">
        <v>623</v>
      </c>
      <c r="B79" s="89" t="s">
        <v>624</v>
      </c>
      <c r="C79" s="89" t="s">
        <v>550</v>
      </c>
      <c r="D79" s="89" t="s">
        <v>625</v>
      </c>
      <c r="E79" s="89" t="s">
        <v>722</v>
      </c>
      <c r="F79" s="90">
        <v>34583</v>
      </c>
      <c r="G79" s="89"/>
      <c r="H79" s="91"/>
      <c r="I79" s="89"/>
      <c r="J79" s="91"/>
      <c r="K79" s="91"/>
      <c r="L79" s="89"/>
      <c r="M79" s="91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89"/>
      <c r="Z79" s="92"/>
      <c r="AA79" s="89"/>
      <c r="AB79" s="92"/>
      <c r="AC79" s="89"/>
      <c r="AD79" s="91"/>
      <c r="AE79" s="93"/>
      <c r="AF79" s="92"/>
      <c r="AH79" s="27">
        <f t="shared" si="33"/>
        <v>0</v>
      </c>
    </row>
    <row r="80" spans="1:34" x14ac:dyDescent="0.25">
      <c r="P80" s="27" t="s">
        <v>31</v>
      </c>
    </row>
    <row r="81" spans="1:34" x14ac:dyDescent="0.25">
      <c r="A81" s="2" t="s">
        <v>778</v>
      </c>
      <c r="N81" s="111">
        <f t="shared" ref="N81:AF81" si="37">SUM(N3:N79)</f>
        <v>4378381.1000000024</v>
      </c>
      <c r="O81" s="27">
        <f t="shared" si="37"/>
        <v>84199.636538461535</v>
      </c>
      <c r="P81" s="27">
        <f t="shared" si="37"/>
        <v>16839.927307692313</v>
      </c>
      <c r="Q81" s="111">
        <f t="shared" si="37"/>
        <v>271459.62820000015</v>
      </c>
      <c r="R81" s="111">
        <f t="shared" si="37"/>
        <v>63486.525950000039</v>
      </c>
      <c r="S81" s="111">
        <f t="shared" si="37"/>
        <v>715792.33924999996</v>
      </c>
      <c r="T81" s="27">
        <f t="shared" si="37"/>
        <v>1132398.81</v>
      </c>
      <c r="U81" s="27">
        <f t="shared" si="37"/>
        <v>94366.567500000019</v>
      </c>
      <c r="V81" s="111">
        <f t="shared" si="37"/>
        <v>1110619.3498499999</v>
      </c>
      <c r="W81" s="27">
        <f t="shared" si="37"/>
        <v>0</v>
      </c>
      <c r="X81" s="111">
        <f t="shared" si="37"/>
        <v>38000</v>
      </c>
      <c r="Y81" s="2">
        <f t="shared" si="37"/>
        <v>831</v>
      </c>
      <c r="Z81" s="111">
        <f t="shared" si="37"/>
        <v>207846.41692307696</v>
      </c>
      <c r="AA81" s="2">
        <f t="shared" si="37"/>
        <v>1237</v>
      </c>
      <c r="AB81" s="27">
        <f t="shared" si="37"/>
        <v>308535.48269230773</v>
      </c>
      <c r="AC81" s="2">
        <f t="shared" si="37"/>
        <v>240</v>
      </c>
      <c r="AD81" s="64">
        <f t="shared" si="37"/>
        <v>59410.532307692294</v>
      </c>
      <c r="AE81" s="68">
        <f t="shared" si="37"/>
        <v>852</v>
      </c>
      <c r="AF81" s="27">
        <f t="shared" si="37"/>
        <v>212510.97538461539</v>
      </c>
      <c r="AH81" s="27">
        <f>SUM(AH3:AH79)</f>
        <v>6785585.3601730792</v>
      </c>
    </row>
    <row r="82" spans="1:34" x14ac:dyDescent="0.25">
      <c r="P82" s="27" t="s">
        <v>31</v>
      </c>
    </row>
    <row r="83" spans="1:34" x14ac:dyDescent="0.25">
      <c r="P83" s="27" t="s">
        <v>31</v>
      </c>
    </row>
    <row r="84" spans="1:34" s="8" customFormat="1" x14ac:dyDescent="0.25">
      <c r="A84" s="74" t="s">
        <v>665</v>
      </c>
      <c r="B84" s="74" t="s">
        <v>666</v>
      </c>
      <c r="C84" s="74" t="s">
        <v>92</v>
      </c>
      <c r="D84" s="74" t="s">
        <v>634</v>
      </c>
      <c r="E84" s="74"/>
      <c r="F84" s="80">
        <v>33501</v>
      </c>
      <c r="G84" s="74"/>
      <c r="H84" s="76"/>
      <c r="I84" s="74"/>
      <c r="J84" s="76"/>
      <c r="K84" s="76"/>
      <c r="L84" s="74"/>
      <c r="M84" s="76"/>
      <c r="N84" s="77">
        <v>140538</v>
      </c>
      <c r="O84" s="77">
        <f t="shared" ref="O84:O131" si="38">+(N84/52)</f>
        <v>2702.6538461538462</v>
      </c>
      <c r="P84" s="77">
        <f t="shared" ref="P84:P131" si="39">+(O84/5)</f>
        <v>540.53076923076924</v>
      </c>
      <c r="Q84" s="77">
        <v>0</v>
      </c>
      <c r="R84" s="77">
        <f t="shared" ref="R84:R136" si="40">+(N84*0.0145)</f>
        <v>2037.8010000000002</v>
      </c>
      <c r="S84" s="77">
        <f>+(N84*0.2344)</f>
        <v>32942.107199999999</v>
      </c>
      <c r="T84" s="77">
        <v>32219.75</v>
      </c>
      <c r="U84" s="77">
        <f>+(T84/12)</f>
        <v>2684.9791666666665</v>
      </c>
      <c r="V84" s="77">
        <f>+(T84*0.885)</f>
        <v>28514.478750000002</v>
      </c>
      <c r="W84" s="77">
        <f>+(T84-V84)</f>
        <v>3705.271249999998</v>
      </c>
      <c r="X84" s="77"/>
      <c r="Y84" s="74">
        <v>15</v>
      </c>
      <c r="Z84" s="77">
        <f t="shared" ref="Z84:Z100" si="41">+(Y84*P84)</f>
        <v>8107.961538461539</v>
      </c>
      <c r="AA84" s="74">
        <v>25</v>
      </c>
      <c r="AB84" s="77">
        <f t="shared" ref="AB84:AB100" si="42">+(AA84*P84)</f>
        <v>13513.26923076923</v>
      </c>
      <c r="AC84" s="74">
        <v>4</v>
      </c>
      <c r="AD84" s="76">
        <f t="shared" ref="AD84:AD100" si="43">+(AC84*P84)</f>
        <v>2162.123076923077</v>
      </c>
      <c r="AE84" s="78">
        <v>13</v>
      </c>
      <c r="AF84" s="77">
        <f t="shared" ref="AF84:AF100" si="44">+(AE84*P84)</f>
        <v>7026.9</v>
      </c>
      <c r="AH84" s="67">
        <f t="shared" ref="AH84:AH100" si="45">+(Z84+X84+V84+S84+R84+Q84+N84)</f>
        <v>212140.34848846155</v>
      </c>
    </row>
    <row r="85" spans="1:34" s="8" customFormat="1" x14ac:dyDescent="0.25">
      <c r="A85" s="74" t="s">
        <v>671</v>
      </c>
      <c r="B85" s="74" t="s">
        <v>672</v>
      </c>
      <c r="C85" s="74" t="s">
        <v>92</v>
      </c>
      <c r="D85" s="74" t="s">
        <v>673</v>
      </c>
      <c r="E85" s="74"/>
      <c r="F85" s="80">
        <v>32918</v>
      </c>
      <c r="G85" s="74"/>
      <c r="H85" s="76"/>
      <c r="I85" s="74"/>
      <c r="J85" s="76">
        <v>54860</v>
      </c>
      <c r="K85" s="76"/>
      <c r="L85" s="74"/>
      <c r="M85" s="76">
        <v>55962.400000000001</v>
      </c>
      <c r="N85" s="77">
        <f t="shared" ref="N85:N100" si="46">+(J85+M85)</f>
        <v>110822.39999999999</v>
      </c>
      <c r="O85" s="77">
        <f t="shared" si="38"/>
        <v>2131.1999999999998</v>
      </c>
      <c r="P85" s="77">
        <f t="shared" si="39"/>
        <v>426.23999999999995</v>
      </c>
      <c r="Q85" s="77">
        <v>0</v>
      </c>
      <c r="R85" s="77">
        <f t="shared" si="40"/>
        <v>1606.9248</v>
      </c>
      <c r="S85" s="77">
        <f t="shared" ref="S85:S136" si="47">+(N85*0.2344)</f>
        <v>25976.770559999997</v>
      </c>
      <c r="T85" s="77">
        <v>32219.75</v>
      </c>
      <c r="U85" s="77">
        <f t="shared" ref="U85:U128" si="48">+(T85/12)</f>
        <v>2684.9791666666665</v>
      </c>
      <c r="V85" s="77">
        <f>+(T85*0.885)</f>
        <v>28514.478750000002</v>
      </c>
      <c r="W85" s="77">
        <f>+(T85-V85)</f>
        <v>3705.271249999998</v>
      </c>
      <c r="X85" s="77"/>
      <c r="Y85" s="74">
        <v>15</v>
      </c>
      <c r="Z85" s="77">
        <f t="shared" si="41"/>
        <v>6393.5999999999995</v>
      </c>
      <c r="AA85" s="74">
        <v>25</v>
      </c>
      <c r="AB85" s="77">
        <f t="shared" si="42"/>
        <v>10655.999999999998</v>
      </c>
      <c r="AC85" s="74">
        <v>4</v>
      </c>
      <c r="AD85" s="76">
        <f t="shared" si="43"/>
        <v>1704.9599999999998</v>
      </c>
      <c r="AE85" s="78">
        <v>13</v>
      </c>
      <c r="AF85" s="77">
        <f t="shared" si="44"/>
        <v>5541.119999999999</v>
      </c>
      <c r="AH85" s="67">
        <f t="shared" si="45"/>
        <v>173314.17410999999</v>
      </c>
    </row>
    <row r="86" spans="1:34" s="8" customFormat="1" x14ac:dyDescent="0.25">
      <c r="A86" s="74" t="s">
        <v>575</v>
      </c>
      <c r="B86" s="74" t="s">
        <v>674</v>
      </c>
      <c r="C86" s="74" t="s">
        <v>92</v>
      </c>
      <c r="D86" s="74" t="s">
        <v>673</v>
      </c>
      <c r="E86" s="74"/>
      <c r="F86" s="80">
        <v>32974</v>
      </c>
      <c r="G86" s="74"/>
      <c r="H86" s="76"/>
      <c r="I86" s="74"/>
      <c r="J86" s="76">
        <v>54860</v>
      </c>
      <c r="K86" s="76"/>
      <c r="L86" s="74"/>
      <c r="M86" s="76">
        <v>55962.400000000001</v>
      </c>
      <c r="N86" s="77">
        <f t="shared" si="46"/>
        <v>110822.39999999999</v>
      </c>
      <c r="O86" s="77">
        <f t="shared" si="38"/>
        <v>2131.1999999999998</v>
      </c>
      <c r="P86" s="77">
        <f t="shared" si="39"/>
        <v>426.23999999999995</v>
      </c>
      <c r="Q86" s="77">
        <v>0</v>
      </c>
      <c r="R86" s="77">
        <f t="shared" si="40"/>
        <v>1606.9248</v>
      </c>
      <c r="S86" s="77">
        <f t="shared" si="47"/>
        <v>25976.770559999997</v>
      </c>
      <c r="T86" s="77" t="s">
        <v>31</v>
      </c>
      <c r="U86" s="77" t="s">
        <v>31</v>
      </c>
      <c r="V86" s="77" t="s">
        <v>31</v>
      </c>
      <c r="W86" s="77" t="s">
        <v>31</v>
      </c>
      <c r="X86" s="77"/>
      <c r="Y86" s="74">
        <v>15</v>
      </c>
      <c r="Z86" s="77">
        <f t="shared" si="41"/>
        <v>6393.5999999999995</v>
      </c>
      <c r="AA86" s="74">
        <v>25</v>
      </c>
      <c r="AB86" s="77">
        <f t="shared" si="42"/>
        <v>10655.999999999998</v>
      </c>
      <c r="AC86" s="74">
        <v>4</v>
      </c>
      <c r="AD86" s="76">
        <f t="shared" si="43"/>
        <v>1704.9599999999998</v>
      </c>
      <c r="AE86" s="78">
        <v>13</v>
      </c>
      <c r="AF86" s="77">
        <f t="shared" si="44"/>
        <v>5541.119999999999</v>
      </c>
      <c r="AH86" s="67" t="e">
        <f t="shared" si="45"/>
        <v>#VALUE!</v>
      </c>
    </row>
    <row r="87" spans="1:34" s="8" customFormat="1" x14ac:dyDescent="0.25">
      <c r="A87" s="74" t="s">
        <v>766</v>
      </c>
      <c r="B87" s="74"/>
      <c r="C87" s="74" t="s">
        <v>92</v>
      </c>
      <c r="D87" s="74" t="s">
        <v>673</v>
      </c>
      <c r="E87" s="74"/>
      <c r="F87" s="74"/>
      <c r="G87" s="74"/>
      <c r="H87" s="76"/>
      <c r="I87" s="74"/>
      <c r="J87" s="76">
        <v>54860</v>
      </c>
      <c r="K87" s="76"/>
      <c r="L87" s="74"/>
      <c r="M87" s="76">
        <v>55962.400000000001</v>
      </c>
      <c r="N87" s="77">
        <f t="shared" si="46"/>
        <v>110822.39999999999</v>
      </c>
      <c r="O87" s="77">
        <f t="shared" si="38"/>
        <v>2131.1999999999998</v>
      </c>
      <c r="P87" s="77">
        <f t="shared" si="39"/>
        <v>426.23999999999995</v>
      </c>
      <c r="Q87" s="77">
        <v>0</v>
      </c>
      <c r="R87" s="77">
        <f t="shared" si="40"/>
        <v>1606.9248</v>
      </c>
      <c r="S87" s="77">
        <f t="shared" ref="S87" si="49">+(N87*0.2344)</f>
        <v>25976.770559999997</v>
      </c>
      <c r="T87" s="77"/>
      <c r="U87" s="77" t="s">
        <v>31</v>
      </c>
      <c r="V87" s="77" t="s">
        <v>31</v>
      </c>
      <c r="W87" s="77" t="s">
        <v>31</v>
      </c>
      <c r="X87" s="77"/>
      <c r="Y87" s="74">
        <v>15</v>
      </c>
      <c r="Z87" s="77">
        <f t="shared" si="41"/>
        <v>6393.5999999999995</v>
      </c>
      <c r="AA87" s="74"/>
      <c r="AB87" s="77">
        <f t="shared" si="42"/>
        <v>0</v>
      </c>
      <c r="AC87" s="74">
        <v>4</v>
      </c>
      <c r="AD87" s="76">
        <f t="shared" si="43"/>
        <v>1704.9599999999998</v>
      </c>
      <c r="AE87" s="78">
        <v>13</v>
      </c>
      <c r="AF87" s="77">
        <f t="shared" si="44"/>
        <v>5541.119999999999</v>
      </c>
      <c r="AH87" s="67" t="e">
        <f t="shared" si="45"/>
        <v>#VALUE!</v>
      </c>
    </row>
    <row r="88" spans="1:34" s="8" customFormat="1" x14ac:dyDescent="0.25">
      <c r="A88" s="74" t="s">
        <v>669</v>
      </c>
      <c r="B88" s="74" t="s">
        <v>670</v>
      </c>
      <c r="C88" s="74" t="s">
        <v>92</v>
      </c>
      <c r="D88" s="74" t="s">
        <v>757</v>
      </c>
      <c r="E88" s="74" t="s">
        <v>724</v>
      </c>
      <c r="F88" s="80">
        <v>36966</v>
      </c>
      <c r="G88" s="74"/>
      <c r="H88" s="76">
        <v>43.96</v>
      </c>
      <c r="I88" s="74">
        <v>40</v>
      </c>
      <c r="J88" s="76">
        <f>+(H88*I88*26)</f>
        <v>45718.400000000001</v>
      </c>
      <c r="K88" s="76">
        <v>44.84</v>
      </c>
      <c r="L88" s="74">
        <v>40</v>
      </c>
      <c r="M88" s="76">
        <f>+(K88*L88*26)</f>
        <v>46633.600000000006</v>
      </c>
      <c r="N88" s="77">
        <f t="shared" si="46"/>
        <v>92352</v>
      </c>
      <c r="O88" s="77">
        <f t="shared" si="38"/>
        <v>1776</v>
      </c>
      <c r="P88" s="77">
        <f t="shared" si="39"/>
        <v>355.2</v>
      </c>
      <c r="Q88" s="77">
        <v>0</v>
      </c>
      <c r="R88" s="77">
        <f t="shared" si="40"/>
        <v>1339.104</v>
      </c>
      <c r="S88" s="77">
        <f t="shared" si="47"/>
        <v>21647.308799999999</v>
      </c>
      <c r="T88" s="77">
        <v>32219.75</v>
      </c>
      <c r="U88" s="77">
        <f t="shared" si="48"/>
        <v>2684.9791666666665</v>
      </c>
      <c r="V88" s="77">
        <f>+(T88*0.885)</f>
        <v>28514.478750000002</v>
      </c>
      <c r="W88" s="77">
        <f>+(T88-V88)</f>
        <v>3705.271249999998</v>
      </c>
      <c r="X88" s="77"/>
      <c r="Y88" s="74">
        <v>15</v>
      </c>
      <c r="Z88" s="77">
        <f t="shared" si="41"/>
        <v>5328</v>
      </c>
      <c r="AA88" s="74">
        <v>20</v>
      </c>
      <c r="AB88" s="77">
        <f t="shared" si="42"/>
        <v>7104</v>
      </c>
      <c r="AC88" s="74">
        <v>4</v>
      </c>
      <c r="AD88" s="76">
        <f t="shared" si="43"/>
        <v>1420.8</v>
      </c>
      <c r="AE88" s="78">
        <v>13</v>
      </c>
      <c r="AF88" s="77">
        <f t="shared" si="44"/>
        <v>4617.5999999999995</v>
      </c>
      <c r="AH88" s="67">
        <f t="shared" si="45"/>
        <v>149180.89155</v>
      </c>
    </row>
    <row r="89" spans="1:34" s="8" customFormat="1" x14ac:dyDescent="0.25">
      <c r="A89" s="74" t="s">
        <v>652</v>
      </c>
      <c r="B89" s="74" t="s">
        <v>653</v>
      </c>
      <c r="C89" s="74" t="s">
        <v>92</v>
      </c>
      <c r="D89" s="74" t="s">
        <v>654</v>
      </c>
      <c r="E89" s="74" t="s">
        <v>724</v>
      </c>
      <c r="F89" s="80">
        <v>34577</v>
      </c>
      <c r="G89" s="74"/>
      <c r="H89" s="76">
        <v>42.04</v>
      </c>
      <c r="I89" s="74">
        <v>40</v>
      </c>
      <c r="J89" s="76">
        <f>+(H89*I89*26)</f>
        <v>43721.599999999999</v>
      </c>
      <c r="K89" s="76">
        <v>42.88</v>
      </c>
      <c r="L89" s="74">
        <v>40</v>
      </c>
      <c r="M89" s="76">
        <f>+(K89*L89*26)</f>
        <v>44595.200000000004</v>
      </c>
      <c r="N89" s="77">
        <f t="shared" si="46"/>
        <v>88316.800000000003</v>
      </c>
      <c r="O89" s="77">
        <f t="shared" si="38"/>
        <v>1698.4</v>
      </c>
      <c r="P89" s="77">
        <f t="shared" si="39"/>
        <v>339.68</v>
      </c>
      <c r="Q89" s="77">
        <v>0</v>
      </c>
      <c r="R89" s="77">
        <f t="shared" si="40"/>
        <v>1280.5936000000002</v>
      </c>
      <c r="S89" s="77">
        <f t="shared" si="47"/>
        <v>20701.457920000001</v>
      </c>
      <c r="T89" s="77">
        <v>32219.75</v>
      </c>
      <c r="U89" s="77">
        <f t="shared" si="48"/>
        <v>2684.9791666666665</v>
      </c>
      <c r="V89" s="77">
        <f>+(T89*0.885)</f>
        <v>28514.478750000002</v>
      </c>
      <c r="W89" s="77">
        <f>+(T89-V89)</f>
        <v>3705.271249999998</v>
      </c>
      <c r="X89" s="77"/>
      <c r="Y89" s="74">
        <v>15</v>
      </c>
      <c r="Z89" s="77">
        <f t="shared" si="41"/>
        <v>5095.2</v>
      </c>
      <c r="AA89" s="74">
        <v>23</v>
      </c>
      <c r="AB89" s="77">
        <f t="shared" si="42"/>
        <v>7812.64</v>
      </c>
      <c r="AC89" s="74">
        <v>4</v>
      </c>
      <c r="AD89" s="76">
        <f t="shared" si="43"/>
        <v>1358.72</v>
      </c>
      <c r="AE89" s="78">
        <v>13</v>
      </c>
      <c r="AF89" s="77">
        <f t="shared" si="44"/>
        <v>4415.84</v>
      </c>
      <c r="AH89" s="67">
        <f t="shared" si="45"/>
        <v>143908.53026999999</v>
      </c>
    </row>
    <row r="90" spans="1:34" s="8" customFormat="1" x14ac:dyDescent="0.25">
      <c r="A90" s="74" t="s">
        <v>655</v>
      </c>
      <c r="B90" s="74" t="s">
        <v>627</v>
      </c>
      <c r="C90" s="74" t="s">
        <v>92</v>
      </c>
      <c r="D90" s="74" t="s">
        <v>654</v>
      </c>
      <c r="E90" s="74" t="s">
        <v>724</v>
      </c>
      <c r="F90" s="80">
        <v>35395</v>
      </c>
      <c r="G90" s="74"/>
      <c r="H90" s="76">
        <v>42.04</v>
      </c>
      <c r="I90" s="74">
        <v>40</v>
      </c>
      <c r="J90" s="76">
        <f t="shared" ref="J90:J131" si="50">+(H90*I90*26)</f>
        <v>43721.599999999999</v>
      </c>
      <c r="K90" s="76">
        <v>42.88</v>
      </c>
      <c r="L90" s="74">
        <v>40</v>
      </c>
      <c r="M90" s="76">
        <f t="shared" ref="M90:M131" si="51">+(K90*L90*26)</f>
        <v>44595.200000000004</v>
      </c>
      <c r="N90" s="77">
        <f t="shared" si="46"/>
        <v>88316.800000000003</v>
      </c>
      <c r="O90" s="77">
        <f t="shared" si="38"/>
        <v>1698.4</v>
      </c>
      <c r="P90" s="77">
        <f t="shared" si="39"/>
        <v>339.68</v>
      </c>
      <c r="Q90" s="77">
        <v>0</v>
      </c>
      <c r="R90" s="77">
        <f t="shared" si="40"/>
        <v>1280.5936000000002</v>
      </c>
      <c r="S90" s="77">
        <f t="shared" si="47"/>
        <v>20701.457920000001</v>
      </c>
      <c r="T90" s="77"/>
      <c r="U90" s="77"/>
      <c r="V90" s="77"/>
      <c r="W90" s="77"/>
      <c r="X90" s="77"/>
      <c r="Y90" s="74">
        <v>15</v>
      </c>
      <c r="Z90" s="77">
        <f t="shared" si="41"/>
        <v>5095.2</v>
      </c>
      <c r="AA90" s="74">
        <v>22</v>
      </c>
      <c r="AB90" s="77">
        <f t="shared" si="42"/>
        <v>7472.96</v>
      </c>
      <c r="AC90" s="74">
        <v>4</v>
      </c>
      <c r="AD90" s="76">
        <f t="shared" si="43"/>
        <v>1358.72</v>
      </c>
      <c r="AE90" s="78">
        <v>13</v>
      </c>
      <c r="AF90" s="77">
        <f t="shared" si="44"/>
        <v>4415.84</v>
      </c>
      <c r="AH90" s="67">
        <f t="shared" si="45"/>
        <v>115394.05152000001</v>
      </c>
    </row>
    <row r="91" spans="1:34" s="8" customFormat="1" x14ac:dyDescent="0.25">
      <c r="A91" s="74" t="s">
        <v>677</v>
      </c>
      <c r="B91" s="74" t="s">
        <v>678</v>
      </c>
      <c r="C91" s="74" t="s">
        <v>92</v>
      </c>
      <c r="D91" s="74" t="s">
        <v>654</v>
      </c>
      <c r="E91" s="74" t="s">
        <v>724</v>
      </c>
      <c r="F91" s="80">
        <v>38870</v>
      </c>
      <c r="G91" s="74"/>
      <c r="H91" s="76">
        <v>42.04</v>
      </c>
      <c r="I91" s="74">
        <v>40</v>
      </c>
      <c r="J91" s="76">
        <f t="shared" si="50"/>
        <v>43721.599999999999</v>
      </c>
      <c r="K91" s="76">
        <v>42.88</v>
      </c>
      <c r="L91" s="74">
        <v>40</v>
      </c>
      <c r="M91" s="76">
        <f t="shared" si="51"/>
        <v>44595.200000000004</v>
      </c>
      <c r="N91" s="77">
        <f t="shared" si="46"/>
        <v>88316.800000000003</v>
      </c>
      <c r="O91" s="77">
        <f t="shared" si="38"/>
        <v>1698.4</v>
      </c>
      <c r="P91" s="77">
        <f t="shared" si="39"/>
        <v>339.68</v>
      </c>
      <c r="Q91" s="77">
        <v>0</v>
      </c>
      <c r="R91" s="77">
        <f t="shared" si="40"/>
        <v>1280.5936000000002</v>
      </c>
      <c r="S91" s="77">
        <f t="shared" si="47"/>
        <v>20701.457920000001</v>
      </c>
      <c r="T91" s="77"/>
      <c r="U91" s="77"/>
      <c r="V91" s="77"/>
      <c r="W91" s="77"/>
      <c r="X91" s="77">
        <v>4000</v>
      </c>
      <c r="Y91" s="74">
        <v>15</v>
      </c>
      <c r="Z91" s="77">
        <f t="shared" si="41"/>
        <v>5095.2</v>
      </c>
      <c r="AA91" s="74">
        <v>22</v>
      </c>
      <c r="AB91" s="77">
        <f t="shared" si="42"/>
        <v>7472.96</v>
      </c>
      <c r="AC91" s="74">
        <v>4</v>
      </c>
      <c r="AD91" s="76">
        <f t="shared" si="43"/>
        <v>1358.72</v>
      </c>
      <c r="AE91" s="78">
        <v>13</v>
      </c>
      <c r="AF91" s="77">
        <f t="shared" si="44"/>
        <v>4415.84</v>
      </c>
      <c r="AH91" s="67">
        <f t="shared" si="45"/>
        <v>119394.05152000001</v>
      </c>
    </row>
    <row r="92" spans="1:34" s="8" customFormat="1" x14ac:dyDescent="0.25">
      <c r="A92" s="74" t="s">
        <v>688</v>
      </c>
      <c r="B92" s="74" t="s">
        <v>689</v>
      </c>
      <c r="C92" s="74" t="s">
        <v>92</v>
      </c>
      <c r="D92" s="74" t="s">
        <v>654</v>
      </c>
      <c r="E92" s="74" t="s">
        <v>724</v>
      </c>
      <c r="F92" s="80">
        <v>39272</v>
      </c>
      <c r="G92" s="74"/>
      <c r="H92" s="76">
        <v>42.04</v>
      </c>
      <c r="I92" s="74">
        <v>40</v>
      </c>
      <c r="J92" s="76">
        <f t="shared" si="50"/>
        <v>43721.599999999999</v>
      </c>
      <c r="K92" s="76">
        <v>42.88</v>
      </c>
      <c r="L92" s="74">
        <v>40</v>
      </c>
      <c r="M92" s="76">
        <f t="shared" si="51"/>
        <v>44595.200000000004</v>
      </c>
      <c r="N92" s="77">
        <f t="shared" si="46"/>
        <v>88316.800000000003</v>
      </c>
      <c r="O92" s="77">
        <f t="shared" si="38"/>
        <v>1698.4</v>
      </c>
      <c r="P92" s="77">
        <f t="shared" si="39"/>
        <v>339.68</v>
      </c>
      <c r="Q92" s="77">
        <v>0</v>
      </c>
      <c r="R92" s="77">
        <f t="shared" si="40"/>
        <v>1280.5936000000002</v>
      </c>
      <c r="S92" s="77">
        <f t="shared" si="47"/>
        <v>20701.457920000001</v>
      </c>
      <c r="T92" s="77"/>
      <c r="U92" s="77"/>
      <c r="V92" s="77"/>
      <c r="W92" s="77"/>
      <c r="X92" s="77"/>
      <c r="Y92" s="74">
        <v>15</v>
      </c>
      <c r="Z92" s="77">
        <f t="shared" si="41"/>
        <v>5095.2</v>
      </c>
      <c r="AA92" s="74">
        <v>22</v>
      </c>
      <c r="AB92" s="77">
        <f t="shared" si="42"/>
        <v>7472.96</v>
      </c>
      <c r="AC92" s="74">
        <v>4</v>
      </c>
      <c r="AD92" s="76">
        <f t="shared" si="43"/>
        <v>1358.72</v>
      </c>
      <c r="AE92" s="78">
        <v>13</v>
      </c>
      <c r="AF92" s="77">
        <f t="shared" si="44"/>
        <v>4415.84</v>
      </c>
      <c r="AH92" s="67">
        <f t="shared" si="45"/>
        <v>115394.05152000001</v>
      </c>
    </row>
    <row r="93" spans="1:34" s="8" customFormat="1" x14ac:dyDescent="0.25">
      <c r="A93" s="88" t="s">
        <v>660</v>
      </c>
      <c r="B93" s="74" t="s">
        <v>719</v>
      </c>
      <c r="C93" s="74" t="s">
        <v>92</v>
      </c>
      <c r="D93" s="74" t="s">
        <v>654</v>
      </c>
      <c r="E93" s="74" t="s">
        <v>724</v>
      </c>
      <c r="F93" s="80">
        <v>35027</v>
      </c>
      <c r="G93" s="74"/>
      <c r="H93" s="76">
        <v>42.04</v>
      </c>
      <c r="I93" s="74">
        <v>40</v>
      </c>
      <c r="J93" s="76">
        <f t="shared" si="50"/>
        <v>43721.599999999999</v>
      </c>
      <c r="K93" s="76">
        <v>42.88</v>
      </c>
      <c r="L93" s="74">
        <v>40</v>
      </c>
      <c r="M93" s="76">
        <f t="shared" si="51"/>
        <v>44595.200000000004</v>
      </c>
      <c r="N93" s="77">
        <f t="shared" si="46"/>
        <v>88316.800000000003</v>
      </c>
      <c r="O93" s="77">
        <f t="shared" si="38"/>
        <v>1698.4</v>
      </c>
      <c r="P93" s="77">
        <f t="shared" si="39"/>
        <v>339.68</v>
      </c>
      <c r="Q93" s="77">
        <v>0</v>
      </c>
      <c r="R93" s="77">
        <f t="shared" si="40"/>
        <v>1280.5936000000002</v>
      </c>
      <c r="S93" s="77">
        <f t="shared" si="47"/>
        <v>20701.457920000001</v>
      </c>
      <c r="T93" s="77"/>
      <c r="U93" s="77"/>
      <c r="V93" s="77"/>
      <c r="W93" s="77"/>
      <c r="X93" s="77"/>
      <c r="Y93" s="74">
        <v>15</v>
      </c>
      <c r="Z93" s="77">
        <f t="shared" si="41"/>
        <v>5095.2</v>
      </c>
      <c r="AA93" s="74">
        <v>25</v>
      </c>
      <c r="AB93" s="77">
        <f t="shared" si="42"/>
        <v>8492</v>
      </c>
      <c r="AC93" s="74">
        <v>4</v>
      </c>
      <c r="AD93" s="76">
        <f t="shared" si="43"/>
        <v>1358.72</v>
      </c>
      <c r="AE93" s="78">
        <v>13</v>
      </c>
      <c r="AF93" s="77">
        <f t="shared" si="44"/>
        <v>4415.84</v>
      </c>
      <c r="AH93" s="67">
        <f t="shared" si="45"/>
        <v>115394.05152000001</v>
      </c>
    </row>
    <row r="94" spans="1:34" s="8" customFormat="1" x14ac:dyDescent="0.25">
      <c r="A94" s="74" t="s">
        <v>656</v>
      </c>
      <c r="B94" s="74" t="s">
        <v>657</v>
      </c>
      <c r="C94" s="74" t="s">
        <v>92</v>
      </c>
      <c r="D94" s="74" t="s">
        <v>658</v>
      </c>
      <c r="E94" s="74" t="s">
        <v>724</v>
      </c>
      <c r="F94" s="80">
        <v>35452</v>
      </c>
      <c r="G94" s="74"/>
      <c r="H94" s="76">
        <v>42.81</v>
      </c>
      <c r="I94" s="74">
        <v>40</v>
      </c>
      <c r="J94" s="76">
        <f t="shared" si="50"/>
        <v>44522.400000000001</v>
      </c>
      <c r="K94" s="76">
        <v>43.67</v>
      </c>
      <c r="L94" s="74">
        <v>40</v>
      </c>
      <c r="M94" s="76">
        <f t="shared" si="51"/>
        <v>45416.800000000003</v>
      </c>
      <c r="N94" s="77">
        <f t="shared" si="46"/>
        <v>89939.200000000012</v>
      </c>
      <c r="O94" s="77">
        <f t="shared" si="38"/>
        <v>1729.6000000000001</v>
      </c>
      <c r="P94" s="77">
        <f t="shared" si="39"/>
        <v>345.92</v>
      </c>
      <c r="Q94" s="77">
        <v>0</v>
      </c>
      <c r="R94" s="77">
        <f t="shared" si="40"/>
        <v>1304.1184000000003</v>
      </c>
      <c r="S94" s="77">
        <f t="shared" si="47"/>
        <v>21081.748480000002</v>
      </c>
      <c r="T94" s="77">
        <v>32219.75</v>
      </c>
      <c r="U94" s="77">
        <f t="shared" si="48"/>
        <v>2684.9791666666665</v>
      </c>
      <c r="V94" s="77">
        <f>+(T94*0.885)</f>
        <v>28514.478750000002</v>
      </c>
      <c r="W94" s="77">
        <f>+(T94-V94)</f>
        <v>3705.271249999998</v>
      </c>
      <c r="X94" s="77"/>
      <c r="Y94" s="74">
        <v>15</v>
      </c>
      <c r="Z94" s="77">
        <f t="shared" si="41"/>
        <v>5188.8</v>
      </c>
      <c r="AA94" s="74">
        <v>25</v>
      </c>
      <c r="AB94" s="77">
        <f t="shared" si="42"/>
        <v>8648</v>
      </c>
      <c r="AC94" s="74">
        <v>4</v>
      </c>
      <c r="AD94" s="76">
        <f t="shared" si="43"/>
        <v>1383.68</v>
      </c>
      <c r="AE94" s="78">
        <v>13</v>
      </c>
      <c r="AF94" s="77">
        <f t="shared" si="44"/>
        <v>4496.96</v>
      </c>
      <c r="AH94" s="67">
        <f t="shared" si="45"/>
        <v>146028.34563000003</v>
      </c>
    </row>
    <row r="95" spans="1:34" s="8" customFormat="1" x14ac:dyDescent="0.25">
      <c r="A95" s="89" t="s">
        <v>659</v>
      </c>
      <c r="B95" s="89" t="s">
        <v>588</v>
      </c>
      <c r="C95" s="74" t="s">
        <v>92</v>
      </c>
      <c r="D95" s="74" t="s">
        <v>658</v>
      </c>
      <c r="E95" s="74" t="s">
        <v>724</v>
      </c>
      <c r="F95" s="80">
        <v>37540</v>
      </c>
      <c r="G95" s="74"/>
      <c r="H95" s="76">
        <v>42.81</v>
      </c>
      <c r="I95" s="74">
        <v>40</v>
      </c>
      <c r="J95" s="76">
        <f t="shared" si="50"/>
        <v>44522.400000000001</v>
      </c>
      <c r="K95" s="76">
        <v>43.67</v>
      </c>
      <c r="L95" s="74">
        <v>40</v>
      </c>
      <c r="M95" s="76">
        <f t="shared" si="51"/>
        <v>45416.800000000003</v>
      </c>
      <c r="N95" s="92">
        <f t="shared" si="46"/>
        <v>89939.200000000012</v>
      </c>
      <c r="O95" s="77">
        <f t="shared" si="38"/>
        <v>1729.6000000000001</v>
      </c>
      <c r="P95" s="77">
        <f t="shared" si="39"/>
        <v>345.92</v>
      </c>
      <c r="Q95" s="77">
        <v>0</v>
      </c>
      <c r="R95" s="77">
        <f t="shared" si="40"/>
        <v>1304.1184000000003</v>
      </c>
      <c r="S95" s="77">
        <f t="shared" si="47"/>
        <v>21081.748480000002</v>
      </c>
      <c r="T95" s="77">
        <v>12291.92</v>
      </c>
      <c r="U95" s="77">
        <f t="shared" si="48"/>
        <v>1024.3266666666666</v>
      </c>
      <c r="V95" s="77">
        <f>+(T95*0.885)</f>
        <v>10878.349200000001</v>
      </c>
      <c r="W95" s="77">
        <f>+(T95-V95)</f>
        <v>1413.5707999999995</v>
      </c>
      <c r="X95" s="77"/>
      <c r="Y95" s="74">
        <v>15</v>
      </c>
      <c r="Z95" s="77">
        <f t="shared" si="41"/>
        <v>5188.8</v>
      </c>
      <c r="AA95" s="74">
        <v>24</v>
      </c>
      <c r="AB95" s="77">
        <f t="shared" si="42"/>
        <v>8302.08</v>
      </c>
      <c r="AC95" s="74">
        <v>4</v>
      </c>
      <c r="AD95" s="76">
        <f t="shared" si="43"/>
        <v>1383.68</v>
      </c>
      <c r="AE95" s="78">
        <v>13</v>
      </c>
      <c r="AF95" s="77">
        <f t="shared" si="44"/>
        <v>4496.96</v>
      </c>
      <c r="AH95" s="67">
        <f t="shared" si="45"/>
        <v>128392.21608000001</v>
      </c>
    </row>
    <row r="96" spans="1:34" s="8" customFormat="1" x14ac:dyDescent="0.25">
      <c r="A96" s="88" t="s">
        <v>660</v>
      </c>
      <c r="B96" s="74" t="s">
        <v>661</v>
      </c>
      <c r="C96" s="74" t="s">
        <v>92</v>
      </c>
      <c r="D96" s="74" t="s">
        <v>658</v>
      </c>
      <c r="E96" s="74" t="s">
        <v>724</v>
      </c>
      <c r="F96" s="80">
        <v>32974</v>
      </c>
      <c r="G96" s="74"/>
      <c r="H96" s="76">
        <v>42.81</v>
      </c>
      <c r="I96" s="74">
        <v>40</v>
      </c>
      <c r="J96" s="76">
        <f t="shared" si="50"/>
        <v>44522.400000000001</v>
      </c>
      <c r="K96" s="76">
        <v>43.67</v>
      </c>
      <c r="L96" s="74">
        <v>40</v>
      </c>
      <c r="M96" s="76">
        <f t="shared" si="51"/>
        <v>45416.800000000003</v>
      </c>
      <c r="N96" s="77">
        <f t="shared" si="46"/>
        <v>89939.200000000012</v>
      </c>
      <c r="O96" s="77">
        <f t="shared" si="38"/>
        <v>1729.6000000000001</v>
      </c>
      <c r="P96" s="77">
        <f t="shared" si="39"/>
        <v>345.92</v>
      </c>
      <c r="Q96" s="77">
        <v>0</v>
      </c>
      <c r="R96" s="77">
        <f t="shared" si="40"/>
        <v>1304.1184000000003</v>
      </c>
      <c r="S96" s="77">
        <f t="shared" si="47"/>
        <v>21081.748480000002</v>
      </c>
      <c r="T96" s="77"/>
      <c r="U96" s="77"/>
      <c r="V96" s="77"/>
      <c r="W96" s="77"/>
      <c r="X96" s="77">
        <v>4000</v>
      </c>
      <c r="Y96" s="74">
        <v>15</v>
      </c>
      <c r="Z96" s="77">
        <f t="shared" si="41"/>
        <v>5188.8</v>
      </c>
      <c r="AA96" s="74">
        <v>25</v>
      </c>
      <c r="AB96" s="77">
        <f t="shared" si="42"/>
        <v>8648</v>
      </c>
      <c r="AC96" s="74">
        <v>4</v>
      </c>
      <c r="AD96" s="76">
        <f t="shared" si="43"/>
        <v>1383.68</v>
      </c>
      <c r="AE96" s="78">
        <v>13</v>
      </c>
      <c r="AF96" s="77">
        <f t="shared" si="44"/>
        <v>4496.96</v>
      </c>
      <c r="AH96" s="67">
        <f t="shared" si="45"/>
        <v>121513.86688000002</v>
      </c>
    </row>
    <row r="97" spans="1:34" s="8" customFormat="1" x14ac:dyDescent="0.25">
      <c r="A97" s="74" t="s">
        <v>667</v>
      </c>
      <c r="B97" s="74" t="s">
        <v>668</v>
      </c>
      <c r="C97" s="74" t="s">
        <v>92</v>
      </c>
      <c r="D97" s="74" t="s">
        <v>658</v>
      </c>
      <c r="E97" s="74" t="s">
        <v>724</v>
      </c>
      <c r="F97" s="80">
        <v>38572</v>
      </c>
      <c r="G97" s="74"/>
      <c r="H97" s="76">
        <v>42.81</v>
      </c>
      <c r="I97" s="74">
        <v>40</v>
      </c>
      <c r="J97" s="76">
        <f t="shared" si="50"/>
        <v>44522.400000000001</v>
      </c>
      <c r="K97" s="76">
        <v>43.67</v>
      </c>
      <c r="L97" s="74">
        <v>40</v>
      </c>
      <c r="M97" s="76">
        <f t="shared" si="51"/>
        <v>45416.800000000003</v>
      </c>
      <c r="N97" s="77">
        <f t="shared" si="46"/>
        <v>89939.200000000012</v>
      </c>
      <c r="O97" s="77">
        <f t="shared" si="38"/>
        <v>1729.6000000000001</v>
      </c>
      <c r="P97" s="77">
        <f t="shared" si="39"/>
        <v>345.92</v>
      </c>
      <c r="Q97" s="77">
        <v>0</v>
      </c>
      <c r="R97" s="77">
        <f t="shared" si="40"/>
        <v>1304.1184000000003</v>
      </c>
      <c r="S97" s="77">
        <f t="shared" si="47"/>
        <v>21081.748480000002</v>
      </c>
      <c r="T97" s="77"/>
      <c r="U97" s="77"/>
      <c r="V97" s="77"/>
      <c r="W97" s="77"/>
      <c r="X97" s="77"/>
      <c r="Y97" s="74">
        <v>15</v>
      </c>
      <c r="Z97" s="77">
        <f t="shared" si="41"/>
        <v>5188.8</v>
      </c>
      <c r="AA97" s="74">
        <v>23</v>
      </c>
      <c r="AB97" s="77">
        <f t="shared" si="42"/>
        <v>7956.1600000000008</v>
      </c>
      <c r="AC97" s="74">
        <v>4</v>
      </c>
      <c r="AD97" s="76">
        <f t="shared" si="43"/>
        <v>1383.68</v>
      </c>
      <c r="AE97" s="78">
        <v>13</v>
      </c>
      <c r="AF97" s="77">
        <f t="shared" si="44"/>
        <v>4496.96</v>
      </c>
      <c r="AH97" s="67">
        <f t="shared" si="45"/>
        <v>117513.86688000002</v>
      </c>
    </row>
    <row r="98" spans="1:34" s="8" customFormat="1" x14ac:dyDescent="0.25">
      <c r="A98" s="74" t="s">
        <v>675</v>
      </c>
      <c r="B98" s="74" t="s">
        <v>676</v>
      </c>
      <c r="C98" s="74" t="s">
        <v>92</v>
      </c>
      <c r="D98" s="74" t="s">
        <v>658</v>
      </c>
      <c r="E98" s="74" t="s">
        <v>724</v>
      </c>
      <c r="F98" s="80">
        <v>37106</v>
      </c>
      <c r="G98" s="74"/>
      <c r="H98" s="76">
        <v>42.81</v>
      </c>
      <c r="I98" s="74">
        <v>40</v>
      </c>
      <c r="J98" s="76">
        <f t="shared" si="50"/>
        <v>44522.400000000001</v>
      </c>
      <c r="K98" s="76">
        <v>43.67</v>
      </c>
      <c r="L98" s="74">
        <v>40</v>
      </c>
      <c r="M98" s="76">
        <f t="shared" si="51"/>
        <v>45416.800000000003</v>
      </c>
      <c r="N98" s="77">
        <f t="shared" si="46"/>
        <v>89939.200000000012</v>
      </c>
      <c r="O98" s="77">
        <f t="shared" si="38"/>
        <v>1729.6000000000001</v>
      </c>
      <c r="P98" s="77">
        <f t="shared" si="39"/>
        <v>345.92</v>
      </c>
      <c r="Q98" s="77">
        <v>0</v>
      </c>
      <c r="R98" s="77">
        <f t="shared" si="40"/>
        <v>1304.1184000000003</v>
      </c>
      <c r="S98" s="77">
        <f t="shared" si="47"/>
        <v>21081.748480000002</v>
      </c>
      <c r="T98" s="77"/>
      <c r="U98" s="77"/>
      <c r="V98" s="77"/>
      <c r="W98" s="77"/>
      <c r="X98" s="77"/>
      <c r="Y98" s="74">
        <v>15</v>
      </c>
      <c r="Z98" s="77">
        <f t="shared" si="41"/>
        <v>5188.8</v>
      </c>
      <c r="AA98" s="74">
        <v>25</v>
      </c>
      <c r="AB98" s="77">
        <f t="shared" si="42"/>
        <v>8648</v>
      </c>
      <c r="AC98" s="74">
        <v>4</v>
      </c>
      <c r="AD98" s="76">
        <f t="shared" si="43"/>
        <v>1383.68</v>
      </c>
      <c r="AE98" s="78">
        <v>13</v>
      </c>
      <c r="AF98" s="77">
        <f t="shared" si="44"/>
        <v>4496.96</v>
      </c>
      <c r="AH98" s="67">
        <f t="shared" si="45"/>
        <v>117513.86688000002</v>
      </c>
    </row>
    <row r="99" spans="1:34" s="8" customFormat="1" x14ac:dyDescent="0.25">
      <c r="A99" s="89" t="s">
        <v>683</v>
      </c>
      <c r="B99" s="89" t="s">
        <v>668</v>
      </c>
      <c r="C99" s="74" t="s">
        <v>92</v>
      </c>
      <c r="D99" s="74" t="s">
        <v>658</v>
      </c>
      <c r="E99" s="74" t="s">
        <v>724</v>
      </c>
      <c r="F99" s="80">
        <v>34568</v>
      </c>
      <c r="G99" s="74"/>
      <c r="H99" s="76">
        <v>42.81</v>
      </c>
      <c r="I99" s="74">
        <v>40</v>
      </c>
      <c r="J99" s="76">
        <f t="shared" si="50"/>
        <v>44522.400000000001</v>
      </c>
      <c r="K99" s="76">
        <v>43.67</v>
      </c>
      <c r="L99" s="74">
        <v>40</v>
      </c>
      <c r="M99" s="76">
        <f t="shared" si="51"/>
        <v>45416.800000000003</v>
      </c>
      <c r="N99" s="92">
        <f t="shared" si="46"/>
        <v>89939.200000000012</v>
      </c>
      <c r="O99" s="77">
        <f t="shared" si="38"/>
        <v>1729.6000000000001</v>
      </c>
      <c r="P99" s="77">
        <f t="shared" si="39"/>
        <v>345.92</v>
      </c>
      <c r="Q99" s="77">
        <v>0</v>
      </c>
      <c r="R99" s="77">
        <f t="shared" si="40"/>
        <v>1304.1184000000003</v>
      </c>
      <c r="S99" s="77">
        <f t="shared" si="47"/>
        <v>21081.748480000002</v>
      </c>
      <c r="T99" s="77"/>
      <c r="U99" s="77"/>
      <c r="V99" s="77"/>
      <c r="W99" s="77"/>
      <c r="X99" s="77"/>
      <c r="Y99" s="74">
        <v>15</v>
      </c>
      <c r="Z99" s="77">
        <f t="shared" si="41"/>
        <v>5188.8</v>
      </c>
      <c r="AA99" s="74">
        <v>25</v>
      </c>
      <c r="AB99" s="77">
        <f t="shared" si="42"/>
        <v>8648</v>
      </c>
      <c r="AC99" s="74">
        <v>4</v>
      </c>
      <c r="AD99" s="76">
        <f t="shared" si="43"/>
        <v>1383.68</v>
      </c>
      <c r="AE99" s="78">
        <v>13</v>
      </c>
      <c r="AF99" s="77">
        <f t="shared" si="44"/>
        <v>4496.96</v>
      </c>
      <c r="AH99" s="67">
        <f t="shared" si="45"/>
        <v>117513.86688000002</v>
      </c>
    </row>
    <row r="100" spans="1:34" s="8" customFormat="1" x14ac:dyDescent="0.25">
      <c r="A100" s="74" t="s">
        <v>685</v>
      </c>
      <c r="B100" s="74" t="s">
        <v>686</v>
      </c>
      <c r="C100" s="74" t="s">
        <v>92</v>
      </c>
      <c r="D100" s="74" t="s">
        <v>658</v>
      </c>
      <c r="E100" s="74" t="s">
        <v>724</v>
      </c>
      <c r="F100" s="80">
        <v>38275</v>
      </c>
      <c r="G100" s="74"/>
      <c r="H100" s="76">
        <v>42.81</v>
      </c>
      <c r="I100" s="74">
        <v>40</v>
      </c>
      <c r="J100" s="76">
        <f t="shared" si="50"/>
        <v>44522.400000000001</v>
      </c>
      <c r="K100" s="76">
        <v>43.67</v>
      </c>
      <c r="L100" s="74">
        <v>40</v>
      </c>
      <c r="M100" s="76">
        <f t="shared" si="51"/>
        <v>45416.800000000003</v>
      </c>
      <c r="N100" s="77">
        <f t="shared" si="46"/>
        <v>89939.200000000012</v>
      </c>
      <c r="O100" s="77">
        <f t="shared" si="38"/>
        <v>1729.6000000000001</v>
      </c>
      <c r="P100" s="77">
        <f t="shared" si="39"/>
        <v>345.92</v>
      </c>
      <c r="Q100" s="77">
        <v>0</v>
      </c>
      <c r="R100" s="77">
        <f t="shared" si="40"/>
        <v>1304.1184000000003</v>
      </c>
      <c r="S100" s="77">
        <f t="shared" si="47"/>
        <v>21081.748480000002</v>
      </c>
      <c r="T100" s="77">
        <v>32219.75</v>
      </c>
      <c r="U100" s="77">
        <f t="shared" si="48"/>
        <v>2684.9791666666665</v>
      </c>
      <c r="V100" s="77">
        <f>+(T100*0.885)</f>
        <v>28514.478750000002</v>
      </c>
      <c r="W100" s="77">
        <f>+(T100-V100)</f>
        <v>3705.271249999998</v>
      </c>
      <c r="X100" s="77"/>
      <c r="Y100" s="74">
        <v>15</v>
      </c>
      <c r="Z100" s="77">
        <f t="shared" si="41"/>
        <v>5188.8</v>
      </c>
      <c r="AA100" s="74">
        <v>23</v>
      </c>
      <c r="AB100" s="77">
        <f t="shared" si="42"/>
        <v>7956.1600000000008</v>
      </c>
      <c r="AC100" s="74">
        <v>4</v>
      </c>
      <c r="AD100" s="76">
        <f t="shared" si="43"/>
        <v>1383.68</v>
      </c>
      <c r="AE100" s="78">
        <v>13</v>
      </c>
      <c r="AF100" s="77">
        <f t="shared" si="44"/>
        <v>4496.96</v>
      </c>
      <c r="AH100" s="67">
        <f t="shared" si="45"/>
        <v>146028.34563000003</v>
      </c>
    </row>
    <row r="101" spans="1:34" s="8" customFormat="1" x14ac:dyDescent="0.25">
      <c r="A101" s="74" t="s">
        <v>758</v>
      </c>
      <c r="B101" s="79"/>
      <c r="C101" s="79"/>
      <c r="D101" s="79"/>
      <c r="E101" s="79"/>
      <c r="F101" s="79"/>
      <c r="G101" s="79"/>
      <c r="H101" s="81"/>
      <c r="I101" s="79"/>
      <c r="J101" s="81"/>
      <c r="K101" s="81"/>
      <c r="L101" s="79"/>
      <c r="M101" s="81"/>
      <c r="N101" s="77">
        <v>1560</v>
      </c>
      <c r="O101" s="29"/>
      <c r="P101" s="29"/>
      <c r="Q101" s="77">
        <v>0</v>
      </c>
      <c r="R101" s="77">
        <f t="shared" si="40"/>
        <v>22.62</v>
      </c>
      <c r="S101" s="77">
        <f t="shared" si="47"/>
        <v>365.66399999999999</v>
      </c>
      <c r="T101" s="29"/>
      <c r="U101" s="29"/>
      <c r="V101" s="29"/>
      <c r="W101" s="29"/>
      <c r="X101" s="29"/>
      <c r="Y101" s="79"/>
      <c r="Z101" s="29"/>
      <c r="AA101" s="79"/>
      <c r="AB101" s="29"/>
      <c r="AC101" s="79"/>
      <c r="AD101" s="81"/>
      <c r="AE101" s="82"/>
      <c r="AF101" s="29"/>
      <c r="AH101" s="67"/>
    </row>
    <row r="102" spans="1:34" s="8" customFormat="1" x14ac:dyDescent="0.25">
      <c r="A102" s="74" t="s">
        <v>759</v>
      </c>
      <c r="B102" s="79"/>
      <c r="C102" s="79"/>
      <c r="D102" s="79"/>
      <c r="E102" s="79"/>
      <c r="F102" s="79"/>
      <c r="G102" s="79"/>
      <c r="H102" s="81"/>
      <c r="I102" s="79"/>
      <c r="J102" s="81"/>
      <c r="K102" s="81"/>
      <c r="L102" s="79"/>
      <c r="M102" s="81"/>
      <c r="N102" s="77">
        <v>6240</v>
      </c>
      <c r="O102" s="29"/>
      <c r="P102" s="29"/>
      <c r="Q102" s="77">
        <v>0</v>
      </c>
      <c r="R102" s="77">
        <f t="shared" si="40"/>
        <v>90.48</v>
      </c>
      <c r="S102" s="77">
        <f t="shared" si="47"/>
        <v>1462.6559999999999</v>
      </c>
      <c r="T102" s="29"/>
      <c r="U102" s="29"/>
      <c r="V102" s="29"/>
      <c r="W102" s="29"/>
      <c r="X102" s="29"/>
      <c r="Y102" s="79"/>
      <c r="Z102" s="29"/>
      <c r="AA102" s="79"/>
      <c r="AB102" s="29"/>
      <c r="AC102" s="79"/>
      <c r="AD102" s="81"/>
      <c r="AE102" s="82"/>
      <c r="AF102" s="29"/>
      <c r="AH102" s="67"/>
    </row>
    <row r="103" spans="1:34" s="8" customFormat="1" x14ac:dyDescent="0.25">
      <c r="A103" s="74" t="s">
        <v>760</v>
      </c>
      <c r="B103" s="74" t="s">
        <v>545</v>
      </c>
      <c r="C103" s="74" t="s">
        <v>92</v>
      </c>
      <c r="D103" s="74" t="s">
        <v>664</v>
      </c>
      <c r="E103" s="74" t="s">
        <v>724</v>
      </c>
      <c r="F103" s="71">
        <v>44193</v>
      </c>
      <c r="G103" s="74"/>
      <c r="H103" s="76">
        <v>37.72</v>
      </c>
      <c r="I103" s="74">
        <v>40</v>
      </c>
      <c r="J103" s="76">
        <f t="shared" si="50"/>
        <v>39228.799999999996</v>
      </c>
      <c r="K103" s="76">
        <v>38.479999999999997</v>
      </c>
      <c r="L103" s="74">
        <v>40</v>
      </c>
      <c r="M103" s="76">
        <f t="shared" si="51"/>
        <v>40019.199999999997</v>
      </c>
      <c r="N103" s="77">
        <f t="shared" ref="N103:N131" si="52">+(J103+M103)</f>
        <v>79248</v>
      </c>
      <c r="O103" s="77">
        <f t="shared" si="38"/>
        <v>1524</v>
      </c>
      <c r="P103" s="77">
        <f t="shared" si="39"/>
        <v>304.8</v>
      </c>
      <c r="Q103" s="77">
        <v>0</v>
      </c>
      <c r="R103" s="77">
        <f t="shared" si="40"/>
        <v>1149.096</v>
      </c>
      <c r="S103" s="77">
        <f t="shared" si="47"/>
        <v>18575.731199999998</v>
      </c>
      <c r="T103" s="77"/>
      <c r="U103" s="77"/>
      <c r="V103" s="77"/>
      <c r="W103" s="77"/>
      <c r="X103" s="77"/>
      <c r="Y103" s="74">
        <v>15</v>
      </c>
      <c r="Z103" s="77">
        <f t="shared" ref="Z103:Z131" si="53">+(Y103*P103)</f>
        <v>4572</v>
      </c>
      <c r="AA103" s="74">
        <v>10</v>
      </c>
      <c r="AB103" s="77">
        <f t="shared" ref="AB103:AB131" si="54">+(AA103*P103)</f>
        <v>3048</v>
      </c>
      <c r="AC103" s="74">
        <v>4</v>
      </c>
      <c r="AD103" s="76">
        <f t="shared" ref="AD103:AD131" si="55">+(AC103*P103)</f>
        <v>1219.2</v>
      </c>
      <c r="AE103" s="78">
        <v>13</v>
      </c>
      <c r="AF103" s="77">
        <f t="shared" ref="AF103:AF131" si="56">+(AE103*P103)</f>
        <v>3962.4</v>
      </c>
      <c r="AH103" s="67">
        <f t="shared" ref="AH103:AH131" si="57">+(Z103+X103+V103+S103+R103+Q103+N103)</f>
        <v>103544.8272</v>
      </c>
    </row>
    <row r="104" spans="1:34" s="8" customFormat="1" x14ac:dyDescent="0.25">
      <c r="A104" s="74" t="s">
        <v>679</v>
      </c>
      <c r="B104" s="74" t="s">
        <v>680</v>
      </c>
      <c r="C104" s="74" t="s">
        <v>92</v>
      </c>
      <c r="D104" s="74" t="s">
        <v>664</v>
      </c>
      <c r="E104" s="74" t="s">
        <v>724</v>
      </c>
      <c r="F104" s="71">
        <v>38870</v>
      </c>
      <c r="G104" s="74"/>
      <c r="H104" s="76">
        <v>38.57</v>
      </c>
      <c r="I104" s="74">
        <v>40</v>
      </c>
      <c r="J104" s="76">
        <f t="shared" si="50"/>
        <v>40112.799999999996</v>
      </c>
      <c r="K104" s="76">
        <v>39.340000000000003</v>
      </c>
      <c r="L104" s="74">
        <v>40</v>
      </c>
      <c r="M104" s="76">
        <f t="shared" si="51"/>
        <v>40913.600000000006</v>
      </c>
      <c r="N104" s="77">
        <f t="shared" si="52"/>
        <v>81026.399999999994</v>
      </c>
      <c r="O104" s="77">
        <f t="shared" si="38"/>
        <v>1558.1999999999998</v>
      </c>
      <c r="P104" s="77">
        <f t="shared" si="39"/>
        <v>311.64</v>
      </c>
      <c r="Q104" s="77">
        <v>0</v>
      </c>
      <c r="R104" s="77">
        <f t="shared" si="40"/>
        <v>1174.8828000000001</v>
      </c>
      <c r="S104" s="77">
        <f t="shared" si="47"/>
        <v>18992.588159999999</v>
      </c>
      <c r="T104" s="77">
        <v>32219.75</v>
      </c>
      <c r="U104" s="77">
        <f t="shared" si="48"/>
        <v>2684.9791666666665</v>
      </c>
      <c r="V104" s="77">
        <f>+(T104*0.885)</f>
        <v>28514.478750000002</v>
      </c>
      <c r="W104" s="77">
        <f>+(T104-V104)</f>
        <v>3705.271249999998</v>
      </c>
      <c r="X104" s="77"/>
      <c r="Y104" s="74">
        <v>15</v>
      </c>
      <c r="Z104" s="77">
        <f t="shared" si="53"/>
        <v>4674.5999999999995</v>
      </c>
      <c r="AA104" s="74">
        <v>22</v>
      </c>
      <c r="AB104" s="77">
        <f t="shared" si="54"/>
        <v>6856.08</v>
      </c>
      <c r="AC104" s="74">
        <v>4</v>
      </c>
      <c r="AD104" s="76">
        <f t="shared" si="55"/>
        <v>1246.56</v>
      </c>
      <c r="AE104" s="78">
        <v>13</v>
      </c>
      <c r="AF104" s="77">
        <f t="shared" si="56"/>
        <v>4051.3199999999997</v>
      </c>
      <c r="AH104" s="67">
        <f t="shared" si="57"/>
        <v>134382.94970999999</v>
      </c>
    </row>
    <row r="105" spans="1:34" s="8" customFormat="1" x14ac:dyDescent="0.25">
      <c r="A105" s="74" t="s">
        <v>707</v>
      </c>
      <c r="B105" s="74" t="s">
        <v>761</v>
      </c>
      <c r="C105" s="74" t="s">
        <v>92</v>
      </c>
      <c r="D105" s="74" t="s">
        <v>664</v>
      </c>
      <c r="E105" s="74" t="s">
        <v>724</v>
      </c>
      <c r="F105" s="71">
        <v>42905</v>
      </c>
      <c r="G105" s="74"/>
      <c r="H105" s="76">
        <v>37.72</v>
      </c>
      <c r="I105" s="74">
        <v>40</v>
      </c>
      <c r="J105" s="76">
        <f t="shared" si="50"/>
        <v>39228.799999999996</v>
      </c>
      <c r="K105" s="76">
        <v>38.479999999999997</v>
      </c>
      <c r="L105" s="74">
        <v>40</v>
      </c>
      <c r="M105" s="76">
        <f t="shared" si="51"/>
        <v>40019.199999999997</v>
      </c>
      <c r="N105" s="77">
        <f t="shared" si="52"/>
        <v>79248</v>
      </c>
      <c r="O105" s="77">
        <f t="shared" si="38"/>
        <v>1524</v>
      </c>
      <c r="P105" s="77">
        <f t="shared" si="39"/>
        <v>304.8</v>
      </c>
      <c r="Q105" s="77">
        <v>0</v>
      </c>
      <c r="R105" s="77">
        <f t="shared" si="40"/>
        <v>1149.096</v>
      </c>
      <c r="S105" s="77">
        <f t="shared" si="47"/>
        <v>18575.731199999998</v>
      </c>
      <c r="T105" s="77">
        <v>32219.75</v>
      </c>
      <c r="U105" s="77">
        <f t="shared" si="48"/>
        <v>2684.9791666666665</v>
      </c>
      <c r="V105" s="77">
        <f>+(T105*0.885)</f>
        <v>28514.478750000002</v>
      </c>
      <c r="W105" s="77">
        <f>+(T105-V105)</f>
        <v>3705.271249999998</v>
      </c>
      <c r="X105" s="77"/>
      <c r="Y105" s="74">
        <v>15</v>
      </c>
      <c r="Z105" s="77">
        <f t="shared" si="53"/>
        <v>4572</v>
      </c>
      <c r="AA105" s="74">
        <v>10</v>
      </c>
      <c r="AB105" s="77">
        <f t="shared" si="54"/>
        <v>3048</v>
      </c>
      <c r="AC105" s="74">
        <v>4</v>
      </c>
      <c r="AD105" s="76">
        <f t="shared" si="55"/>
        <v>1219.2</v>
      </c>
      <c r="AE105" s="78">
        <v>13</v>
      </c>
      <c r="AF105" s="77">
        <f t="shared" si="56"/>
        <v>3962.4</v>
      </c>
      <c r="AH105" s="67">
        <f t="shared" si="57"/>
        <v>132059.30595000001</v>
      </c>
    </row>
    <row r="106" spans="1:34" s="8" customFormat="1" x14ac:dyDescent="0.25">
      <c r="A106" s="74" t="s">
        <v>694</v>
      </c>
      <c r="B106" s="74" t="s">
        <v>680</v>
      </c>
      <c r="C106" s="74" t="s">
        <v>92</v>
      </c>
      <c r="D106" s="74" t="s">
        <v>664</v>
      </c>
      <c r="E106" s="74" t="s">
        <v>724</v>
      </c>
      <c r="F106" s="71">
        <v>40823</v>
      </c>
      <c r="G106" s="74"/>
      <c r="H106" s="76">
        <v>38.57</v>
      </c>
      <c r="I106" s="74">
        <v>40</v>
      </c>
      <c r="J106" s="76">
        <f t="shared" si="50"/>
        <v>40112.799999999996</v>
      </c>
      <c r="K106" s="76">
        <v>39.340000000000003</v>
      </c>
      <c r="L106" s="74">
        <v>40</v>
      </c>
      <c r="M106" s="76">
        <f t="shared" si="51"/>
        <v>40913.600000000006</v>
      </c>
      <c r="N106" s="77">
        <f t="shared" si="52"/>
        <v>81026.399999999994</v>
      </c>
      <c r="O106" s="77">
        <f t="shared" si="38"/>
        <v>1558.1999999999998</v>
      </c>
      <c r="P106" s="77">
        <f t="shared" si="39"/>
        <v>311.64</v>
      </c>
      <c r="Q106" s="77">
        <v>0</v>
      </c>
      <c r="R106" s="77">
        <f t="shared" si="40"/>
        <v>1174.8828000000001</v>
      </c>
      <c r="S106" s="77">
        <f t="shared" si="47"/>
        <v>18992.588159999999</v>
      </c>
      <c r="T106" s="77">
        <v>26358.63</v>
      </c>
      <c r="U106" s="77">
        <f t="shared" si="48"/>
        <v>2196.5525000000002</v>
      </c>
      <c r="V106" s="77">
        <f>+(T106*0.885)</f>
        <v>23327.387549999999</v>
      </c>
      <c r="W106" s="77">
        <f>+(T106-V106)</f>
        <v>3031.2424500000016</v>
      </c>
      <c r="X106" s="77"/>
      <c r="Y106" s="74">
        <v>15</v>
      </c>
      <c r="Z106" s="77">
        <f t="shared" si="53"/>
        <v>4674.5999999999995</v>
      </c>
      <c r="AA106" s="74">
        <v>15</v>
      </c>
      <c r="AB106" s="77">
        <f t="shared" si="54"/>
        <v>4674.5999999999995</v>
      </c>
      <c r="AC106" s="74">
        <v>4</v>
      </c>
      <c r="AD106" s="76">
        <f t="shared" si="55"/>
        <v>1246.56</v>
      </c>
      <c r="AE106" s="78">
        <v>13</v>
      </c>
      <c r="AF106" s="77">
        <f t="shared" si="56"/>
        <v>4051.3199999999997</v>
      </c>
      <c r="AH106" s="67">
        <f t="shared" si="57"/>
        <v>129195.85850999999</v>
      </c>
    </row>
    <row r="107" spans="1:34" s="8" customFormat="1" x14ac:dyDescent="0.25">
      <c r="A107" s="74" t="s">
        <v>696</v>
      </c>
      <c r="B107" s="74" t="s">
        <v>697</v>
      </c>
      <c r="C107" s="74" t="s">
        <v>92</v>
      </c>
      <c r="D107" s="74" t="s">
        <v>664</v>
      </c>
      <c r="E107" s="74" t="s">
        <v>724</v>
      </c>
      <c r="F107" s="71">
        <v>41103</v>
      </c>
      <c r="G107" s="74"/>
      <c r="H107" s="76">
        <v>37.72</v>
      </c>
      <c r="I107" s="74">
        <v>40</v>
      </c>
      <c r="J107" s="76">
        <f t="shared" si="50"/>
        <v>39228.799999999996</v>
      </c>
      <c r="K107" s="76">
        <v>38.479999999999997</v>
      </c>
      <c r="L107" s="74">
        <v>40</v>
      </c>
      <c r="M107" s="76">
        <f t="shared" si="51"/>
        <v>40019.199999999997</v>
      </c>
      <c r="N107" s="77">
        <f t="shared" si="52"/>
        <v>79248</v>
      </c>
      <c r="O107" s="77">
        <f t="shared" si="38"/>
        <v>1524</v>
      </c>
      <c r="P107" s="77">
        <f t="shared" si="39"/>
        <v>304.8</v>
      </c>
      <c r="Q107" s="77">
        <v>0</v>
      </c>
      <c r="R107" s="77">
        <f t="shared" si="40"/>
        <v>1149.096</v>
      </c>
      <c r="S107" s="77">
        <f t="shared" si="47"/>
        <v>18575.731199999998</v>
      </c>
      <c r="T107" s="77"/>
      <c r="U107" s="77"/>
      <c r="V107" s="77"/>
      <c r="W107" s="77"/>
      <c r="X107" s="77"/>
      <c r="Y107" s="74">
        <v>15</v>
      </c>
      <c r="Z107" s="77">
        <f t="shared" si="53"/>
        <v>4572</v>
      </c>
      <c r="AA107" s="74">
        <v>15</v>
      </c>
      <c r="AB107" s="77">
        <f t="shared" si="54"/>
        <v>4572</v>
      </c>
      <c r="AC107" s="74">
        <v>4</v>
      </c>
      <c r="AD107" s="76">
        <f t="shared" si="55"/>
        <v>1219.2</v>
      </c>
      <c r="AE107" s="78">
        <v>13</v>
      </c>
      <c r="AF107" s="77">
        <f t="shared" si="56"/>
        <v>3962.4</v>
      </c>
      <c r="AH107" s="67">
        <f t="shared" si="57"/>
        <v>103544.8272</v>
      </c>
    </row>
    <row r="108" spans="1:34" s="8" customFormat="1" x14ac:dyDescent="0.25">
      <c r="A108" s="89" t="s">
        <v>690</v>
      </c>
      <c r="B108" s="89" t="s">
        <v>691</v>
      </c>
      <c r="C108" s="74" t="s">
        <v>92</v>
      </c>
      <c r="D108" s="74" t="s">
        <v>664</v>
      </c>
      <c r="E108" s="74" t="s">
        <v>724</v>
      </c>
      <c r="F108" s="71">
        <v>39640</v>
      </c>
      <c r="G108" s="74"/>
      <c r="H108" s="76">
        <v>38.57</v>
      </c>
      <c r="I108" s="74">
        <v>40</v>
      </c>
      <c r="J108" s="76">
        <f t="shared" si="50"/>
        <v>40112.799999999996</v>
      </c>
      <c r="K108" s="76">
        <v>39.340000000000003</v>
      </c>
      <c r="L108" s="74">
        <v>40</v>
      </c>
      <c r="M108" s="76">
        <f t="shared" si="51"/>
        <v>40913.600000000006</v>
      </c>
      <c r="N108" s="92">
        <f t="shared" si="52"/>
        <v>81026.399999999994</v>
      </c>
      <c r="O108" s="77">
        <f t="shared" si="38"/>
        <v>1558.1999999999998</v>
      </c>
      <c r="P108" s="77">
        <f t="shared" si="39"/>
        <v>311.64</v>
      </c>
      <c r="Q108" s="77">
        <v>0</v>
      </c>
      <c r="R108" s="77">
        <f t="shared" si="40"/>
        <v>1174.8828000000001</v>
      </c>
      <c r="S108" s="77">
        <f t="shared" si="47"/>
        <v>18992.588159999999</v>
      </c>
      <c r="T108" s="77">
        <v>32219.75</v>
      </c>
      <c r="U108" s="77">
        <f t="shared" si="48"/>
        <v>2684.9791666666665</v>
      </c>
      <c r="V108" s="77">
        <f>+(T108*0.885)</f>
        <v>28514.478750000002</v>
      </c>
      <c r="W108" s="77">
        <f>+(T108-V108)</f>
        <v>3705.271249999998</v>
      </c>
      <c r="X108" s="77"/>
      <c r="Y108" s="74">
        <v>15</v>
      </c>
      <c r="Z108" s="77">
        <f t="shared" si="53"/>
        <v>4674.5999999999995</v>
      </c>
      <c r="AA108" s="74">
        <v>21</v>
      </c>
      <c r="AB108" s="77">
        <f t="shared" si="54"/>
        <v>6544.44</v>
      </c>
      <c r="AC108" s="74">
        <v>4</v>
      </c>
      <c r="AD108" s="76">
        <f t="shared" si="55"/>
        <v>1246.56</v>
      </c>
      <c r="AE108" s="78">
        <v>13</v>
      </c>
      <c r="AF108" s="77">
        <f t="shared" si="56"/>
        <v>4051.3199999999997</v>
      </c>
      <c r="AH108" s="67">
        <f t="shared" si="57"/>
        <v>134382.94970999999</v>
      </c>
    </row>
    <row r="109" spans="1:34" s="8" customFormat="1" x14ac:dyDescent="0.25">
      <c r="A109" s="74" t="s">
        <v>695</v>
      </c>
      <c r="B109" s="74" t="s">
        <v>689</v>
      </c>
      <c r="C109" s="74" t="s">
        <v>92</v>
      </c>
      <c r="D109" s="74" t="s">
        <v>664</v>
      </c>
      <c r="E109" s="74" t="s">
        <v>724</v>
      </c>
      <c r="F109" s="71">
        <v>40998</v>
      </c>
      <c r="G109" s="74"/>
      <c r="H109" s="76">
        <v>37.72</v>
      </c>
      <c r="I109" s="74">
        <v>40</v>
      </c>
      <c r="J109" s="76">
        <f t="shared" si="50"/>
        <v>39228.799999999996</v>
      </c>
      <c r="K109" s="76">
        <v>39.340000000000003</v>
      </c>
      <c r="L109" s="74">
        <v>40</v>
      </c>
      <c r="M109" s="76">
        <f t="shared" si="51"/>
        <v>40913.600000000006</v>
      </c>
      <c r="N109" s="77">
        <f t="shared" si="52"/>
        <v>80142.399999999994</v>
      </c>
      <c r="O109" s="77">
        <f t="shared" si="38"/>
        <v>1541.1999999999998</v>
      </c>
      <c r="P109" s="77">
        <f t="shared" si="39"/>
        <v>308.23999999999995</v>
      </c>
      <c r="Q109" s="77">
        <v>0</v>
      </c>
      <c r="R109" s="77">
        <f t="shared" si="40"/>
        <v>1162.0647999999999</v>
      </c>
      <c r="S109" s="77">
        <f t="shared" si="47"/>
        <v>18785.378559999997</v>
      </c>
      <c r="T109" s="77"/>
      <c r="U109" s="77"/>
      <c r="V109" s="77"/>
      <c r="W109" s="77"/>
      <c r="X109" s="77">
        <v>4000</v>
      </c>
      <c r="Y109" s="74">
        <v>15</v>
      </c>
      <c r="Z109" s="77">
        <f t="shared" si="53"/>
        <v>4623.5999999999995</v>
      </c>
      <c r="AA109" s="74">
        <v>15</v>
      </c>
      <c r="AB109" s="77">
        <f t="shared" si="54"/>
        <v>4623.5999999999995</v>
      </c>
      <c r="AC109" s="74">
        <v>4</v>
      </c>
      <c r="AD109" s="76">
        <f t="shared" si="55"/>
        <v>1232.9599999999998</v>
      </c>
      <c r="AE109" s="78">
        <v>13</v>
      </c>
      <c r="AF109" s="77">
        <f t="shared" si="56"/>
        <v>4007.1199999999994</v>
      </c>
      <c r="AH109" s="67">
        <f t="shared" si="57"/>
        <v>108713.44335999999</v>
      </c>
    </row>
    <row r="110" spans="1:34" s="8" customFormat="1" x14ac:dyDescent="0.25">
      <c r="A110" s="74" t="s">
        <v>711</v>
      </c>
      <c r="B110" s="74" t="s">
        <v>712</v>
      </c>
      <c r="C110" s="74" t="s">
        <v>92</v>
      </c>
      <c r="D110" s="74" t="s">
        <v>664</v>
      </c>
      <c r="E110" s="74" t="s">
        <v>724</v>
      </c>
      <c r="F110" s="71">
        <v>43196</v>
      </c>
      <c r="G110" s="74"/>
      <c r="H110" s="76">
        <v>36.99</v>
      </c>
      <c r="I110" s="74">
        <v>40</v>
      </c>
      <c r="J110" s="76">
        <f t="shared" si="50"/>
        <v>38469.600000000006</v>
      </c>
      <c r="K110" s="76">
        <v>37.729999999999997</v>
      </c>
      <c r="L110" s="74">
        <v>40</v>
      </c>
      <c r="M110" s="76">
        <f t="shared" si="51"/>
        <v>39239.199999999997</v>
      </c>
      <c r="N110" s="77">
        <f t="shared" si="52"/>
        <v>77708.800000000003</v>
      </c>
      <c r="O110" s="77">
        <f t="shared" si="38"/>
        <v>1494.4</v>
      </c>
      <c r="P110" s="77">
        <f t="shared" si="39"/>
        <v>298.88</v>
      </c>
      <c r="Q110" s="77">
        <v>0</v>
      </c>
      <c r="R110" s="77">
        <f t="shared" si="40"/>
        <v>1126.7776000000001</v>
      </c>
      <c r="S110" s="77">
        <f t="shared" si="47"/>
        <v>18214.942719999999</v>
      </c>
      <c r="T110" s="77"/>
      <c r="U110" s="77"/>
      <c r="V110" s="77"/>
      <c r="W110" s="77"/>
      <c r="X110" s="77"/>
      <c r="Y110" s="74">
        <v>15</v>
      </c>
      <c r="Z110" s="77">
        <f t="shared" si="53"/>
        <v>4483.2</v>
      </c>
      <c r="AA110" s="74">
        <v>10</v>
      </c>
      <c r="AB110" s="77">
        <f t="shared" si="54"/>
        <v>2988.8</v>
      </c>
      <c r="AC110" s="74">
        <v>4</v>
      </c>
      <c r="AD110" s="76">
        <f t="shared" si="55"/>
        <v>1195.52</v>
      </c>
      <c r="AE110" s="78">
        <v>13</v>
      </c>
      <c r="AF110" s="77">
        <f t="shared" si="56"/>
        <v>3885.44</v>
      </c>
      <c r="AH110" s="67">
        <f t="shared" si="57"/>
        <v>101533.72032000001</v>
      </c>
    </row>
    <row r="111" spans="1:34" s="8" customFormat="1" x14ac:dyDescent="0.25">
      <c r="A111" s="74" t="s">
        <v>713</v>
      </c>
      <c r="B111" s="74" t="s">
        <v>714</v>
      </c>
      <c r="C111" s="74" t="s">
        <v>92</v>
      </c>
      <c r="D111" s="74" t="s">
        <v>664</v>
      </c>
      <c r="E111" s="74" t="s">
        <v>724</v>
      </c>
      <c r="F111" s="71">
        <v>43287</v>
      </c>
      <c r="G111" s="74"/>
      <c r="H111" s="76">
        <v>36.99</v>
      </c>
      <c r="I111" s="74">
        <v>40</v>
      </c>
      <c r="J111" s="76">
        <f t="shared" si="50"/>
        <v>38469.600000000006</v>
      </c>
      <c r="K111" s="76">
        <v>37.729999999999997</v>
      </c>
      <c r="L111" s="74">
        <v>40</v>
      </c>
      <c r="M111" s="76">
        <f t="shared" si="51"/>
        <v>39239.199999999997</v>
      </c>
      <c r="N111" s="77">
        <f t="shared" si="52"/>
        <v>77708.800000000003</v>
      </c>
      <c r="O111" s="77">
        <f t="shared" si="38"/>
        <v>1494.4</v>
      </c>
      <c r="P111" s="77">
        <f t="shared" si="39"/>
        <v>298.88</v>
      </c>
      <c r="Q111" s="77">
        <v>0</v>
      </c>
      <c r="R111" s="77">
        <f t="shared" si="40"/>
        <v>1126.7776000000001</v>
      </c>
      <c r="S111" s="77">
        <f t="shared" si="47"/>
        <v>18214.942719999999</v>
      </c>
      <c r="T111" s="77">
        <v>12291.92</v>
      </c>
      <c r="U111" s="77">
        <f t="shared" si="48"/>
        <v>1024.3266666666666</v>
      </c>
      <c r="V111" s="77">
        <f t="shared" ref="V111:V128" si="58">+(T111*0.885)</f>
        <v>10878.349200000001</v>
      </c>
      <c r="W111" s="77">
        <f t="shared" ref="W111:W128" si="59">+(T111-V111)</f>
        <v>1413.5707999999995</v>
      </c>
      <c r="X111" s="77"/>
      <c r="Y111" s="74">
        <v>15</v>
      </c>
      <c r="Z111" s="77">
        <f t="shared" si="53"/>
        <v>4483.2</v>
      </c>
      <c r="AA111" s="74">
        <v>10</v>
      </c>
      <c r="AB111" s="77">
        <f t="shared" si="54"/>
        <v>2988.8</v>
      </c>
      <c r="AC111" s="74">
        <v>4</v>
      </c>
      <c r="AD111" s="76">
        <f t="shared" si="55"/>
        <v>1195.52</v>
      </c>
      <c r="AE111" s="78">
        <v>13</v>
      </c>
      <c r="AF111" s="77">
        <f t="shared" si="56"/>
        <v>3885.44</v>
      </c>
      <c r="AH111" s="67">
        <f t="shared" si="57"/>
        <v>112412.06952</v>
      </c>
    </row>
    <row r="112" spans="1:34" s="8" customFormat="1" x14ac:dyDescent="0.25">
      <c r="A112" s="74" t="s">
        <v>715</v>
      </c>
      <c r="B112" s="74" t="s">
        <v>627</v>
      </c>
      <c r="C112" s="74" t="s">
        <v>92</v>
      </c>
      <c r="D112" s="74" t="s">
        <v>664</v>
      </c>
      <c r="E112" s="74" t="s">
        <v>724</v>
      </c>
      <c r="F112" s="71">
        <v>43685</v>
      </c>
      <c r="G112" s="74"/>
      <c r="H112" s="76">
        <v>36.35</v>
      </c>
      <c r="I112" s="74">
        <v>40</v>
      </c>
      <c r="J112" s="76">
        <f t="shared" si="50"/>
        <v>37804</v>
      </c>
      <c r="K112" s="76">
        <v>37.08</v>
      </c>
      <c r="L112" s="74">
        <v>40</v>
      </c>
      <c r="M112" s="76">
        <f t="shared" si="51"/>
        <v>38563.199999999997</v>
      </c>
      <c r="N112" s="77">
        <f t="shared" si="52"/>
        <v>76367.199999999997</v>
      </c>
      <c r="O112" s="77">
        <f t="shared" si="38"/>
        <v>1468.6</v>
      </c>
      <c r="P112" s="77">
        <f t="shared" si="39"/>
        <v>293.71999999999997</v>
      </c>
      <c r="Q112" s="77">
        <v>0</v>
      </c>
      <c r="R112" s="77">
        <f t="shared" si="40"/>
        <v>1107.3244</v>
      </c>
      <c r="S112" s="77">
        <f t="shared" si="47"/>
        <v>17900.471679999999</v>
      </c>
      <c r="T112" s="77">
        <v>26358.63</v>
      </c>
      <c r="U112" s="77">
        <f t="shared" si="48"/>
        <v>2196.5525000000002</v>
      </c>
      <c r="V112" s="77">
        <f t="shared" si="58"/>
        <v>23327.387549999999</v>
      </c>
      <c r="W112" s="77">
        <f t="shared" si="59"/>
        <v>3031.2424500000016</v>
      </c>
      <c r="X112" s="77"/>
      <c r="Y112" s="74">
        <v>15</v>
      </c>
      <c r="Z112" s="77">
        <f t="shared" si="53"/>
        <v>4405.7999999999993</v>
      </c>
      <c r="AA112" s="74">
        <v>10</v>
      </c>
      <c r="AB112" s="77">
        <f t="shared" si="54"/>
        <v>2937.2</v>
      </c>
      <c r="AC112" s="74">
        <v>4</v>
      </c>
      <c r="AD112" s="76">
        <f t="shared" si="55"/>
        <v>1174.8799999999999</v>
      </c>
      <c r="AE112" s="78">
        <v>13</v>
      </c>
      <c r="AF112" s="77">
        <f t="shared" si="56"/>
        <v>3818.3599999999997</v>
      </c>
      <c r="AH112" s="67">
        <f t="shared" si="57"/>
        <v>123108.18362999998</v>
      </c>
    </row>
    <row r="113" spans="1:34" s="8" customFormat="1" x14ac:dyDescent="0.25">
      <c r="A113" s="74" t="s">
        <v>701</v>
      </c>
      <c r="B113" s="74" t="s">
        <v>661</v>
      </c>
      <c r="C113" s="74" t="s">
        <v>92</v>
      </c>
      <c r="D113" s="74" t="s">
        <v>664</v>
      </c>
      <c r="E113" s="74" t="s">
        <v>724</v>
      </c>
      <c r="F113" s="71">
        <v>41486</v>
      </c>
      <c r="G113" s="74"/>
      <c r="H113" s="76">
        <v>37.72</v>
      </c>
      <c r="I113" s="74">
        <v>40</v>
      </c>
      <c r="J113" s="76">
        <f t="shared" si="50"/>
        <v>39228.799999999996</v>
      </c>
      <c r="K113" s="76">
        <v>38.479999999999997</v>
      </c>
      <c r="L113" s="74">
        <v>40</v>
      </c>
      <c r="M113" s="76">
        <f t="shared" si="51"/>
        <v>40019.199999999997</v>
      </c>
      <c r="N113" s="77">
        <f t="shared" si="52"/>
        <v>79248</v>
      </c>
      <c r="O113" s="77">
        <f t="shared" si="38"/>
        <v>1524</v>
      </c>
      <c r="P113" s="77">
        <f t="shared" si="39"/>
        <v>304.8</v>
      </c>
      <c r="Q113" s="77">
        <v>0</v>
      </c>
      <c r="R113" s="77">
        <f t="shared" si="40"/>
        <v>1149.096</v>
      </c>
      <c r="S113" s="77">
        <f t="shared" si="47"/>
        <v>18575.731199999998</v>
      </c>
      <c r="T113" s="77">
        <v>12291.92</v>
      </c>
      <c r="U113" s="77">
        <f t="shared" si="48"/>
        <v>1024.3266666666666</v>
      </c>
      <c r="V113" s="77">
        <f t="shared" si="58"/>
        <v>10878.349200000001</v>
      </c>
      <c r="W113" s="77">
        <f t="shared" si="59"/>
        <v>1413.5707999999995</v>
      </c>
      <c r="X113" s="77"/>
      <c r="Y113" s="74">
        <v>15</v>
      </c>
      <c r="Z113" s="77">
        <f t="shared" si="53"/>
        <v>4572</v>
      </c>
      <c r="AA113" s="74">
        <v>15</v>
      </c>
      <c r="AB113" s="77">
        <f t="shared" si="54"/>
        <v>4572</v>
      </c>
      <c r="AC113" s="74">
        <v>4</v>
      </c>
      <c r="AD113" s="76">
        <f t="shared" si="55"/>
        <v>1219.2</v>
      </c>
      <c r="AE113" s="78">
        <v>13</v>
      </c>
      <c r="AF113" s="77">
        <f t="shared" si="56"/>
        <v>3962.4</v>
      </c>
      <c r="AH113" s="67">
        <f t="shared" si="57"/>
        <v>114423.1764</v>
      </c>
    </row>
    <row r="114" spans="1:34" s="8" customFormat="1" x14ac:dyDescent="0.25">
      <c r="A114" s="74" t="s">
        <v>662</v>
      </c>
      <c r="B114" s="74" t="s">
        <v>663</v>
      </c>
      <c r="C114" s="74" t="s">
        <v>92</v>
      </c>
      <c r="D114" s="74" t="s">
        <v>664</v>
      </c>
      <c r="E114" s="74" t="s">
        <v>724</v>
      </c>
      <c r="F114" s="71">
        <v>36755</v>
      </c>
      <c r="G114" s="74"/>
      <c r="H114" s="76">
        <v>38.57</v>
      </c>
      <c r="I114" s="74">
        <v>40</v>
      </c>
      <c r="J114" s="76">
        <f t="shared" si="50"/>
        <v>40112.799999999996</v>
      </c>
      <c r="K114" s="76">
        <v>39.340000000000003</v>
      </c>
      <c r="L114" s="74">
        <v>40</v>
      </c>
      <c r="M114" s="76">
        <f t="shared" si="51"/>
        <v>40913.600000000006</v>
      </c>
      <c r="N114" s="77">
        <f t="shared" si="52"/>
        <v>81026.399999999994</v>
      </c>
      <c r="O114" s="77">
        <f t="shared" si="38"/>
        <v>1558.1999999999998</v>
      </c>
      <c r="P114" s="77">
        <f t="shared" si="39"/>
        <v>311.64</v>
      </c>
      <c r="Q114" s="77">
        <v>0</v>
      </c>
      <c r="R114" s="77">
        <f t="shared" si="40"/>
        <v>1174.8828000000001</v>
      </c>
      <c r="S114" s="77">
        <f t="shared" si="47"/>
        <v>18992.588159999999</v>
      </c>
      <c r="T114" s="77">
        <v>32219.75</v>
      </c>
      <c r="U114" s="77">
        <f t="shared" si="48"/>
        <v>2684.9791666666665</v>
      </c>
      <c r="V114" s="77">
        <f t="shared" si="58"/>
        <v>28514.478750000002</v>
      </c>
      <c r="W114" s="77">
        <f t="shared" si="59"/>
        <v>3705.271249999998</v>
      </c>
      <c r="X114" s="77"/>
      <c r="Y114" s="74">
        <v>15</v>
      </c>
      <c r="Z114" s="77">
        <f t="shared" si="53"/>
        <v>4674.5999999999995</v>
      </c>
      <c r="AA114" s="74">
        <v>25</v>
      </c>
      <c r="AB114" s="77">
        <f t="shared" si="54"/>
        <v>7791</v>
      </c>
      <c r="AC114" s="74">
        <v>4</v>
      </c>
      <c r="AD114" s="76">
        <f t="shared" si="55"/>
        <v>1246.56</v>
      </c>
      <c r="AE114" s="78">
        <v>13</v>
      </c>
      <c r="AF114" s="77">
        <f t="shared" si="56"/>
        <v>4051.3199999999997</v>
      </c>
      <c r="AH114" s="67">
        <f t="shared" si="57"/>
        <v>134382.94970999999</v>
      </c>
    </row>
    <row r="115" spans="1:34" s="8" customFormat="1" x14ac:dyDescent="0.25">
      <c r="A115" s="74" t="s">
        <v>699</v>
      </c>
      <c r="B115" s="74" t="s">
        <v>700</v>
      </c>
      <c r="C115" s="74" t="s">
        <v>92</v>
      </c>
      <c r="D115" s="74" t="s">
        <v>664</v>
      </c>
      <c r="E115" s="74" t="s">
        <v>724</v>
      </c>
      <c r="F115" s="71">
        <v>41486</v>
      </c>
      <c r="G115" s="74"/>
      <c r="H115" s="76">
        <v>37.72</v>
      </c>
      <c r="I115" s="74">
        <v>40</v>
      </c>
      <c r="J115" s="76">
        <f t="shared" si="50"/>
        <v>39228.799999999996</v>
      </c>
      <c r="K115" s="76">
        <v>38.479999999999997</v>
      </c>
      <c r="L115" s="74">
        <v>40</v>
      </c>
      <c r="M115" s="76">
        <f t="shared" si="51"/>
        <v>40019.199999999997</v>
      </c>
      <c r="N115" s="77">
        <f t="shared" si="52"/>
        <v>79248</v>
      </c>
      <c r="O115" s="77">
        <f t="shared" si="38"/>
        <v>1524</v>
      </c>
      <c r="P115" s="77">
        <f t="shared" si="39"/>
        <v>304.8</v>
      </c>
      <c r="Q115" s="77">
        <v>0</v>
      </c>
      <c r="R115" s="77">
        <f t="shared" si="40"/>
        <v>1149.096</v>
      </c>
      <c r="S115" s="77">
        <f t="shared" si="47"/>
        <v>18575.731199999998</v>
      </c>
      <c r="T115" s="77">
        <v>12291.92</v>
      </c>
      <c r="U115" s="77">
        <f t="shared" si="48"/>
        <v>1024.3266666666666</v>
      </c>
      <c r="V115" s="77">
        <f t="shared" si="58"/>
        <v>10878.349200000001</v>
      </c>
      <c r="W115" s="77">
        <f t="shared" si="59"/>
        <v>1413.5707999999995</v>
      </c>
      <c r="X115" s="77"/>
      <c r="Y115" s="74">
        <v>15</v>
      </c>
      <c r="Z115" s="77">
        <f t="shared" si="53"/>
        <v>4572</v>
      </c>
      <c r="AA115" s="74">
        <v>15</v>
      </c>
      <c r="AB115" s="77">
        <f t="shared" si="54"/>
        <v>4572</v>
      </c>
      <c r="AC115" s="74">
        <v>4</v>
      </c>
      <c r="AD115" s="76">
        <f t="shared" si="55"/>
        <v>1219.2</v>
      </c>
      <c r="AE115" s="78">
        <v>13</v>
      </c>
      <c r="AF115" s="77">
        <f t="shared" si="56"/>
        <v>3962.4</v>
      </c>
      <c r="AH115" s="67">
        <f t="shared" si="57"/>
        <v>114423.1764</v>
      </c>
    </row>
    <row r="116" spans="1:34" s="8" customFormat="1" x14ac:dyDescent="0.25">
      <c r="A116" s="74" t="s">
        <v>684</v>
      </c>
      <c r="B116" s="74" t="s">
        <v>679</v>
      </c>
      <c r="C116" s="74" t="s">
        <v>92</v>
      </c>
      <c r="D116" s="74" t="s">
        <v>664</v>
      </c>
      <c r="E116" s="74" t="s">
        <v>724</v>
      </c>
      <c r="F116" s="71">
        <v>35920</v>
      </c>
      <c r="G116" s="74"/>
      <c r="H116" s="76">
        <v>38.57</v>
      </c>
      <c r="I116" s="74">
        <v>40</v>
      </c>
      <c r="J116" s="76">
        <f t="shared" si="50"/>
        <v>40112.799999999996</v>
      </c>
      <c r="K116" s="76">
        <v>39.340000000000003</v>
      </c>
      <c r="L116" s="74">
        <v>40</v>
      </c>
      <c r="M116" s="76">
        <f t="shared" si="51"/>
        <v>40913.600000000006</v>
      </c>
      <c r="N116" s="77">
        <f t="shared" si="52"/>
        <v>81026.399999999994</v>
      </c>
      <c r="O116" s="77">
        <f t="shared" si="38"/>
        <v>1558.1999999999998</v>
      </c>
      <c r="P116" s="77">
        <f t="shared" si="39"/>
        <v>311.64</v>
      </c>
      <c r="Q116" s="77">
        <v>0</v>
      </c>
      <c r="R116" s="77">
        <f t="shared" si="40"/>
        <v>1174.8828000000001</v>
      </c>
      <c r="S116" s="77">
        <f t="shared" si="47"/>
        <v>18992.588159999999</v>
      </c>
      <c r="T116" s="77">
        <v>32219.75</v>
      </c>
      <c r="U116" s="77">
        <f t="shared" si="48"/>
        <v>2684.9791666666665</v>
      </c>
      <c r="V116" s="77">
        <f t="shared" si="58"/>
        <v>28514.478750000002</v>
      </c>
      <c r="W116" s="77">
        <f t="shared" si="59"/>
        <v>3705.271249999998</v>
      </c>
      <c r="X116" s="77"/>
      <c r="Y116" s="74">
        <v>15</v>
      </c>
      <c r="Z116" s="77">
        <f t="shared" si="53"/>
        <v>4674.5999999999995</v>
      </c>
      <c r="AA116" s="74">
        <v>25</v>
      </c>
      <c r="AB116" s="77">
        <f t="shared" si="54"/>
        <v>7791</v>
      </c>
      <c r="AC116" s="74">
        <v>4</v>
      </c>
      <c r="AD116" s="76">
        <f t="shared" si="55"/>
        <v>1246.56</v>
      </c>
      <c r="AE116" s="78">
        <v>13</v>
      </c>
      <c r="AF116" s="77">
        <f t="shared" si="56"/>
        <v>4051.3199999999997</v>
      </c>
      <c r="AH116" s="67">
        <f t="shared" si="57"/>
        <v>134382.94970999999</v>
      </c>
    </row>
    <row r="117" spans="1:34" s="8" customFormat="1" x14ac:dyDescent="0.25">
      <c r="A117" s="74" t="s">
        <v>705</v>
      </c>
      <c r="B117" s="74" t="s">
        <v>706</v>
      </c>
      <c r="C117" s="74" t="s">
        <v>92</v>
      </c>
      <c r="D117" s="74" t="s">
        <v>664</v>
      </c>
      <c r="E117" s="74" t="s">
        <v>724</v>
      </c>
      <c r="F117" s="71">
        <v>42712</v>
      </c>
      <c r="G117" s="74"/>
      <c r="H117" s="76">
        <v>37.72</v>
      </c>
      <c r="I117" s="74">
        <v>40</v>
      </c>
      <c r="J117" s="76">
        <f t="shared" si="50"/>
        <v>39228.799999999996</v>
      </c>
      <c r="K117" s="76">
        <v>38.479999999999997</v>
      </c>
      <c r="L117" s="74">
        <v>40</v>
      </c>
      <c r="M117" s="76">
        <f t="shared" si="51"/>
        <v>40019.199999999997</v>
      </c>
      <c r="N117" s="77">
        <f t="shared" si="52"/>
        <v>79248</v>
      </c>
      <c r="O117" s="77">
        <f t="shared" si="38"/>
        <v>1524</v>
      </c>
      <c r="P117" s="77">
        <f t="shared" si="39"/>
        <v>304.8</v>
      </c>
      <c r="Q117" s="77">
        <v>0</v>
      </c>
      <c r="R117" s="77">
        <f t="shared" si="40"/>
        <v>1149.096</v>
      </c>
      <c r="S117" s="77">
        <f t="shared" si="47"/>
        <v>18575.731199999998</v>
      </c>
      <c r="T117" s="77">
        <v>32219.75</v>
      </c>
      <c r="U117" s="77">
        <f t="shared" si="48"/>
        <v>2684.9791666666665</v>
      </c>
      <c r="V117" s="77">
        <f t="shared" si="58"/>
        <v>28514.478750000002</v>
      </c>
      <c r="W117" s="77">
        <f t="shared" si="59"/>
        <v>3705.271249999998</v>
      </c>
      <c r="X117" s="77"/>
      <c r="Y117" s="74">
        <v>15</v>
      </c>
      <c r="Z117" s="77">
        <f t="shared" si="53"/>
        <v>4572</v>
      </c>
      <c r="AA117" s="74">
        <v>15</v>
      </c>
      <c r="AB117" s="77">
        <f t="shared" si="54"/>
        <v>4572</v>
      </c>
      <c r="AC117" s="74">
        <v>4</v>
      </c>
      <c r="AD117" s="76">
        <f t="shared" si="55"/>
        <v>1219.2</v>
      </c>
      <c r="AE117" s="78">
        <v>13</v>
      </c>
      <c r="AF117" s="77">
        <f t="shared" si="56"/>
        <v>3962.4</v>
      </c>
      <c r="AH117" s="67">
        <f t="shared" si="57"/>
        <v>132059.30595000001</v>
      </c>
    </row>
    <row r="118" spans="1:34" s="8" customFormat="1" ht="15.75" thickBot="1" x14ac:dyDescent="0.3">
      <c r="A118" s="74" t="s">
        <v>698</v>
      </c>
      <c r="B118" s="74" t="s">
        <v>762</v>
      </c>
      <c r="C118" s="74" t="s">
        <v>92</v>
      </c>
      <c r="D118" s="74" t="s">
        <v>664</v>
      </c>
      <c r="E118" s="74" t="s">
        <v>724</v>
      </c>
      <c r="F118" s="71">
        <v>41274</v>
      </c>
      <c r="G118" s="74"/>
      <c r="H118" s="76">
        <v>37.72</v>
      </c>
      <c r="I118" s="74">
        <v>40</v>
      </c>
      <c r="J118" s="76">
        <f t="shared" si="50"/>
        <v>39228.799999999996</v>
      </c>
      <c r="K118" s="76">
        <v>38.479999999999997</v>
      </c>
      <c r="L118" s="74">
        <v>40</v>
      </c>
      <c r="M118" s="76">
        <f t="shared" si="51"/>
        <v>40019.199999999997</v>
      </c>
      <c r="N118" s="77">
        <f t="shared" si="52"/>
        <v>79248</v>
      </c>
      <c r="O118" s="77">
        <f t="shared" si="38"/>
        <v>1524</v>
      </c>
      <c r="P118" s="77">
        <f t="shared" si="39"/>
        <v>304.8</v>
      </c>
      <c r="Q118" s="77">
        <v>0</v>
      </c>
      <c r="R118" s="77">
        <f t="shared" si="40"/>
        <v>1149.096</v>
      </c>
      <c r="S118" s="77">
        <f t="shared" si="47"/>
        <v>18575.731199999998</v>
      </c>
      <c r="T118" s="77">
        <v>32219.75</v>
      </c>
      <c r="U118" s="77">
        <f t="shared" si="48"/>
        <v>2684.9791666666665</v>
      </c>
      <c r="V118" s="77">
        <f t="shared" si="58"/>
        <v>28514.478750000002</v>
      </c>
      <c r="W118" s="77">
        <f t="shared" si="59"/>
        <v>3705.271249999998</v>
      </c>
      <c r="X118" s="77"/>
      <c r="Y118" s="74">
        <v>15</v>
      </c>
      <c r="Z118" s="77">
        <f t="shared" si="53"/>
        <v>4572</v>
      </c>
      <c r="AA118" s="74">
        <v>15</v>
      </c>
      <c r="AB118" s="77">
        <f t="shared" si="54"/>
        <v>4572</v>
      </c>
      <c r="AC118" s="74">
        <v>4</v>
      </c>
      <c r="AD118" s="76">
        <f t="shared" si="55"/>
        <v>1219.2</v>
      </c>
      <c r="AE118" s="78">
        <v>13</v>
      </c>
      <c r="AF118" s="77">
        <f t="shared" si="56"/>
        <v>3962.4</v>
      </c>
      <c r="AH118" s="67">
        <f t="shared" si="57"/>
        <v>132059.30595000001</v>
      </c>
    </row>
    <row r="119" spans="1:34" s="8" customFormat="1" ht="16.5" thickTop="1" thickBot="1" x14ac:dyDescent="0.3">
      <c r="A119" s="398" t="s">
        <v>692</v>
      </c>
      <c r="B119" s="398" t="s">
        <v>693</v>
      </c>
      <c r="C119" s="74" t="s">
        <v>92</v>
      </c>
      <c r="D119" s="74" t="s">
        <v>664</v>
      </c>
      <c r="E119" s="74" t="s">
        <v>724</v>
      </c>
      <c r="F119" s="71">
        <v>39640</v>
      </c>
      <c r="G119" s="74"/>
      <c r="H119" s="76">
        <v>38.57</v>
      </c>
      <c r="I119" s="74">
        <v>40</v>
      </c>
      <c r="J119" s="76">
        <f t="shared" si="50"/>
        <v>40112.799999999996</v>
      </c>
      <c r="K119" s="76">
        <v>39.340000000000003</v>
      </c>
      <c r="L119" s="74">
        <v>40</v>
      </c>
      <c r="M119" s="76">
        <f t="shared" si="51"/>
        <v>40913.600000000006</v>
      </c>
      <c r="N119" s="77">
        <f t="shared" si="52"/>
        <v>81026.399999999994</v>
      </c>
      <c r="O119" s="77">
        <f t="shared" si="38"/>
        <v>1558.1999999999998</v>
      </c>
      <c r="P119" s="77">
        <f t="shared" si="39"/>
        <v>311.64</v>
      </c>
      <c r="Q119" s="77">
        <v>0</v>
      </c>
      <c r="R119" s="77">
        <f t="shared" si="40"/>
        <v>1174.8828000000001</v>
      </c>
      <c r="S119" s="77">
        <f t="shared" si="47"/>
        <v>18992.588159999999</v>
      </c>
      <c r="T119" s="77">
        <v>32219.75</v>
      </c>
      <c r="U119" s="77">
        <f t="shared" si="48"/>
        <v>2684.9791666666665</v>
      </c>
      <c r="V119" s="77">
        <f t="shared" si="58"/>
        <v>28514.478750000002</v>
      </c>
      <c r="W119" s="77">
        <f t="shared" si="59"/>
        <v>3705.271249999998</v>
      </c>
      <c r="X119" s="77"/>
      <c r="Y119" s="74">
        <v>15</v>
      </c>
      <c r="Z119" s="77">
        <f t="shared" si="53"/>
        <v>4674.5999999999995</v>
      </c>
      <c r="AA119" s="74">
        <v>21</v>
      </c>
      <c r="AB119" s="77">
        <f t="shared" si="54"/>
        <v>6544.44</v>
      </c>
      <c r="AC119" s="74">
        <v>4</v>
      </c>
      <c r="AD119" s="76">
        <f t="shared" si="55"/>
        <v>1246.56</v>
      </c>
      <c r="AE119" s="78">
        <v>13</v>
      </c>
      <c r="AF119" s="77">
        <f t="shared" si="56"/>
        <v>4051.3199999999997</v>
      </c>
      <c r="AH119" s="67">
        <f t="shared" si="57"/>
        <v>134382.94970999999</v>
      </c>
    </row>
    <row r="120" spans="1:34" s="8" customFormat="1" ht="15.75" thickTop="1" x14ac:dyDescent="0.25">
      <c r="A120" s="74" t="s">
        <v>718</v>
      </c>
      <c r="B120" s="74" t="s">
        <v>763</v>
      </c>
      <c r="C120" s="74" t="s">
        <v>92</v>
      </c>
      <c r="D120" s="74" t="s">
        <v>664</v>
      </c>
      <c r="E120" s="74" t="s">
        <v>724</v>
      </c>
      <c r="F120" s="71">
        <v>44062</v>
      </c>
      <c r="G120" s="74"/>
      <c r="H120" s="76">
        <v>36.35</v>
      </c>
      <c r="I120" s="74">
        <v>40</v>
      </c>
      <c r="J120" s="76">
        <f t="shared" si="50"/>
        <v>37804</v>
      </c>
      <c r="K120" s="76">
        <v>37.08</v>
      </c>
      <c r="L120" s="74">
        <v>40</v>
      </c>
      <c r="M120" s="76">
        <f t="shared" si="51"/>
        <v>38563.199999999997</v>
      </c>
      <c r="N120" s="77">
        <f t="shared" si="52"/>
        <v>76367.199999999997</v>
      </c>
      <c r="O120" s="77">
        <f t="shared" si="38"/>
        <v>1468.6</v>
      </c>
      <c r="P120" s="77">
        <f t="shared" si="39"/>
        <v>293.71999999999997</v>
      </c>
      <c r="Q120" s="77">
        <v>0</v>
      </c>
      <c r="R120" s="77">
        <f t="shared" si="40"/>
        <v>1107.3244</v>
      </c>
      <c r="S120" s="77">
        <f t="shared" si="47"/>
        <v>17900.471679999999</v>
      </c>
      <c r="T120" s="77">
        <v>12291.92</v>
      </c>
      <c r="U120" s="77">
        <f t="shared" si="48"/>
        <v>1024.3266666666666</v>
      </c>
      <c r="V120" s="77">
        <f t="shared" si="58"/>
        <v>10878.349200000001</v>
      </c>
      <c r="W120" s="77">
        <f t="shared" si="59"/>
        <v>1413.5707999999995</v>
      </c>
      <c r="X120" s="77"/>
      <c r="Y120" s="74">
        <v>15</v>
      </c>
      <c r="Z120" s="77">
        <f t="shared" si="53"/>
        <v>4405.7999999999993</v>
      </c>
      <c r="AA120" s="74">
        <v>10</v>
      </c>
      <c r="AB120" s="77">
        <f t="shared" si="54"/>
        <v>2937.2</v>
      </c>
      <c r="AC120" s="74">
        <v>4</v>
      </c>
      <c r="AD120" s="76">
        <f t="shared" si="55"/>
        <v>1174.8799999999999</v>
      </c>
      <c r="AE120" s="78">
        <v>13</v>
      </c>
      <c r="AF120" s="77">
        <f t="shared" si="56"/>
        <v>3818.3599999999997</v>
      </c>
      <c r="AH120" s="67">
        <f t="shared" si="57"/>
        <v>110659.14528</v>
      </c>
    </row>
    <row r="121" spans="1:34" s="8" customFormat="1" x14ac:dyDescent="0.25">
      <c r="A121" s="74" t="s">
        <v>708</v>
      </c>
      <c r="B121" s="74" t="s">
        <v>709</v>
      </c>
      <c r="C121" s="74" t="s">
        <v>92</v>
      </c>
      <c r="D121" s="74" t="s">
        <v>664</v>
      </c>
      <c r="E121" s="74" t="s">
        <v>724</v>
      </c>
      <c r="F121" s="71">
        <v>42923</v>
      </c>
      <c r="G121" s="74"/>
      <c r="H121" s="76">
        <v>36.99</v>
      </c>
      <c r="I121" s="74">
        <v>40</v>
      </c>
      <c r="J121" s="76">
        <f t="shared" si="50"/>
        <v>38469.600000000006</v>
      </c>
      <c r="K121" s="76">
        <v>37.729999999999997</v>
      </c>
      <c r="L121" s="74">
        <v>40</v>
      </c>
      <c r="M121" s="76">
        <f t="shared" si="51"/>
        <v>39239.199999999997</v>
      </c>
      <c r="N121" s="77">
        <f t="shared" si="52"/>
        <v>77708.800000000003</v>
      </c>
      <c r="O121" s="77">
        <f t="shared" si="38"/>
        <v>1494.4</v>
      </c>
      <c r="P121" s="77">
        <f t="shared" si="39"/>
        <v>298.88</v>
      </c>
      <c r="Q121" s="77">
        <v>0</v>
      </c>
      <c r="R121" s="77">
        <f t="shared" si="40"/>
        <v>1126.7776000000001</v>
      </c>
      <c r="S121" s="77">
        <f t="shared" si="47"/>
        <v>18214.942719999999</v>
      </c>
      <c r="T121" s="77">
        <v>32219.75</v>
      </c>
      <c r="U121" s="77">
        <f t="shared" si="48"/>
        <v>2684.9791666666665</v>
      </c>
      <c r="V121" s="77">
        <f t="shared" si="58"/>
        <v>28514.478750000002</v>
      </c>
      <c r="W121" s="77">
        <f t="shared" si="59"/>
        <v>3705.271249999998</v>
      </c>
      <c r="X121" s="77"/>
      <c r="Y121" s="74">
        <v>15</v>
      </c>
      <c r="Z121" s="77">
        <f t="shared" si="53"/>
        <v>4483.2</v>
      </c>
      <c r="AA121" s="74">
        <v>10</v>
      </c>
      <c r="AB121" s="77">
        <f t="shared" si="54"/>
        <v>2988.8</v>
      </c>
      <c r="AC121" s="74">
        <v>4</v>
      </c>
      <c r="AD121" s="76">
        <f t="shared" si="55"/>
        <v>1195.52</v>
      </c>
      <c r="AE121" s="78">
        <v>13</v>
      </c>
      <c r="AF121" s="77">
        <f t="shared" si="56"/>
        <v>3885.44</v>
      </c>
      <c r="AH121" s="67">
        <f t="shared" si="57"/>
        <v>130048.19907</v>
      </c>
    </row>
    <row r="122" spans="1:34" s="8" customFormat="1" x14ac:dyDescent="0.25">
      <c r="A122" s="74" t="s">
        <v>710</v>
      </c>
      <c r="B122" s="74" t="s">
        <v>764</v>
      </c>
      <c r="C122" s="74" t="s">
        <v>92</v>
      </c>
      <c r="D122" s="74" t="s">
        <v>664</v>
      </c>
      <c r="E122" s="74" t="s">
        <v>724</v>
      </c>
      <c r="F122" s="71">
        <v>43098</v>
      </c>
      <c r="G122" s="74"/>
      <c r="H122" s="76">
        <v>36.99</v>
      </c>
      <c r="I122" s="74">
        <v>40</v>
      </c>
      <c r="J122" s="76">
        <f t="shared" si="50"/>
        <v>38469.600000000006</v>
      </c>
      <c r="K122" s="76">
        <v>37.729999999999997</v>
      </c>
      <c r="L122" s="74">
        <v>40</v>
      </c>
      <c r="M122" s="76">
        <f t="shared" si="51"/>
        <v>39239.199999999997</v>
      </c>
      <c r="N122" s="77">
        <f t="shared" si="52"/>
        <v>77708.800000000003</v>
      </c>
      <c r="O122" s="77">
        <f t="shared" si="38"/>
        <v>1494.4</v>
      </c>
      <c r="P122" s="77">
        <f t="shared" si="39"/>
        <v>298.88</v>
      </c>
      <c r="Q122" s="77">
        <v>0</v>
      </c>
      <c r="R122" s="77">
        <f t="shared" si="40"/>
        <v>1126.7776000000001</v>
      </c>
      <c r="S122" s="77">
        <f t="shared" si="47"/>
        <v>18214.942719999999</v>
      </c>
      <c r="T122" s="77">
        <v>12291.92</v>
      </c>
      <c r="U122" s="77">
        <f t="shared" si="48"/>
        <v>1024.3266666666666</v>
      </c>
      <c r="V122" s="77">
        <f t="shared" si="58"/>
        <v>10878.349200000001</v>
      </c>
      <c r="W122" s="77">
        <f t="shared" si="59"/>
        <v>1413.5707999999995</v>
      </c>
      <c r="X122" s="77"/>
      <c r="Y122" s="74">
        <v>15</v>
      </c>
      <c r="Z122" s="77">
        <f t="shared" si="53"/>
        <v>4483.2</v>
      </c>
      <c r="AA122" s="74">
        <v>10</v>
      </c>
      <c r="AB122" s="77">
        <f t="shared" si="54"/>
        <v>2988.8</v>
      </c>
      <c r="AC122" s="74">
        <v>4</v>
      </c>
      <c r="AD122" s="76">
        <f t="shared" si="55"/>
        <v>1195.52</v>
      </c>
      <c r="AE122" s="78">
        <v>13</v>
      </c>
      <c r="AF122" s="77">
        <f t="shared" si="56"/>
        <v>3885.44</v>
      </c>
      <c r="AH122" s="67">
        <f t="shared" si="57"/>
        <v>112412.06952</v>
      </c>
    </row>
    <row r="123" spans="1:34" s="8" customFormat="1" x14ac:dyDescent="0.25">
      <c r="A123" s="74" t="s">
        <v>716</v>
      </c>
      <c r="B123" s="74" t="s">
        <v>717</v>
      </c>
      <c r="C123" s="74" t="s">
        <v>92</v>
      </c>
      <c r="D123" s="74" t="s">
        <v>664</v>
      </c>
      <c r="E123" s="74" t="s">
        <v>724</v>
      </c>
      <c r="F123" s="71">
        <v>43291</v>
      </c>
      <c r="G123" s="74"/>
      <c r="H123" s="76">
        <v>36.35</v>
      </c>
      <c r="I123" s="74">
        <v>40</v>
      </c>
      <c r="J123" s="76">
        <f t="shared" si="50"/>
        <v>37804</v>
      </c>
      <c r="K123" s="76">
        <v>37.08</v>
      </c>
      <c r="L123" s="74">
        <v>40</v>
      </c>
      <c r="M123" s="76">
        <f t="shared" si="51"/>
        <v>38563.199999999997</v>
      </c>
      <c r="N123" s="77">
        <f t="shared" si="52"/>
        <v>76367.199999999997</v>
      </c>
      <c r="O123" s="77">
        <f t="shared" si="38"/>
        <v>1468.6</v>
      </c>
      <c r="P123" s="77">
        <f t="shared" si="39"/>
        <v>293.71999999999997</v>
      </c>
      <c r="Q123" s="77">
        <v>0</v>
      </c>
      <c r="R123" s="77">
        <f t="shared" si="40"/>
        <v>1107.3244</v>
      </c>
      <c r="S123" s="77">
        <f t="shared" si="47"/>
        <v>17900.471679999999</v>
      </c>
      <c r="T123" s="77">
        <v>12291.92</v>
      </c>
      <c r="U123" s="77">
        <f t="shared" si="48"/>
        <v>1024.3266666666666</v>
      </c>
      <c r="V123" s="77">
        <f t="shared" si="58"/>
        <v>10878.349200000001</v>
      </c>
      <c r="W123" s="77">
        <f t="shared" si="59"/>
        <v>1413.5707999999995</v>
      </c>
      <c r="X123" s="77"/>
      <c r="Y123" s="74">
        <v>15</v>
      </c>
      <c r="Z123" s="77">
        <f t="shared" si="53"/>
        <v>4405.7999999999993</v>
      </c>
      <c r="AA123" s="74">
        <v>10</v>
      </c>
      <c r="AB123" s="77">
        <f t="shared" si="54"/>
        <v>2937.2</v>
      </c>
      <c r="AC123" s="74">
        <v>4</v>
      </c>
      <c r="AD123" s="76">
        <f t="shared" si="55"/>
        <v>1174.8799999999999</v>
      </c>
      <c r="AE123" s="78">
        <v>13</v>
      </c>
      <c r="AF123" s="77">
        <f t="shared" si="56"/>
        <v>3818.3599999999997</v>
      </c>
      <c r="AH123" s="67">
        <f t="shared" si="57"/>
        <v>110659.14528</v>
      </c>
    </row>
    <row r="124" spans="1:34" s="8" customFormat="1" x14ac:dyDescent="0.25">
      <c r="A124" s="74" t="s">
        <v>681</v>
      </c>
      <c r="B124" s="74" t="s">
        <v>682</v>
      </c>
      <c r="C124" s="74" t="s">
        <v>92</v>
      </c>
      <c r="D124" s="74" t="s">
        <v>664</v>
      </c>
      <c r="E124" s="74" t="s">
        <v>724</v>
      </c>
      <c r="F124" s="71">
        <v>39167</v>
      </c>
      <c r="G124" s="74"/>
      <c r="H124" s="76">
        <v>38.57</v>
      </c>
      <c r="I124" s="74">
        <v>40</v>
      </c>
      <c r="J124" s="76">
        <f t="shared" si="50"/>
        <v>40112.799999999996</v>
      </c>
      <c r="K124" s="76">
        <v>39.340000000000003</v>
      </c>
      <c r="L124" s="74">
        <v>40</v>
      </c>
      <c r="M124" s="76">
        <f t="shared" si="51"/>
        <v>40913.600000000006</v>
      </c>
      <c r="N124" s="77">
        <f t="shared" si="52"/>
        <v>81026.399999999994</v>
      </c>
      <c r="O124" s="77">
        <f t="shared" si="38"/>
        <v>1558.1999999999998</v>
      </c>
      <c r="P124" s="77">
        <f t="shared" si="39"/>
        <v>311.64</v>
      </c>
      <c r="Q124" s="77">
        <v>0</v>
      </c>
      <c r="R124" s="77">
        <f t="shared" si="40"/>
        <v>1174.8828000000001</v>
      </c>
      <c r="S124" s="77">
        <f t="shared" si="47"/>
        <v>18992.588159999999</v>
      </c>
      <c r="T124" s="77">
        <v>32219.75</v>
      </c>
      <c r="U124" s="77">
        <f t="shared" si="48"/>
        <v>2684.9791666666665</v>
      </c>
      <c r="V124" s="77">
        <f t="shared" si="58"/>
        <v>28514.478750000002</v>
      </c>
      <c r="W124" s="77">
        <f t="shared" si="59"/>
        <v>3705.271249999998</v>
      </c>
      <c r="X124" s="77"/>
      <c r="Y124" s="74">
        <v>15</v>
      </c>
      <c r="Z124" s="77">
        <f t="shared" si="53"/>
        <v>4674.5999999999995</v>
      </c>
      <c r="AA124" s="74">
        <v>22</v>
      </c>
      <c r="AB124" s="77">
        <f t="shared" si="54"/>
        <v>6856.08</v>
      </c>
      <c r="AC124" s="74">
        <v>4</v>
      </c>
      <c r="AD124" s="76">
        <f t="shared" si="55"/>
        <v>1246.56</v>
      </c>
      <c r="AE124" s="78">
        <v>13</v>
      </c>
      <c r="AF124" s="77">
        <f t="shared" si="56"/>
        <v>4051.3199999999997</v>
      </c>
      <c r="AH124" s="67">
        <f t="shared" si="57"/>
        <v>134382.94970999999</v>
      </c>
    </row>
    <row r="125" spans="1:34" s="8" customFormat="1" x14ac:dyDescent="0.25">
      <c r="A125" s="74" t="s">
        <v>702</v>
      </c>
      <c r="B125" s="74" t="s">
        <v>703</v>
      </c>
      <c r="C125" s="74" t="s">
        <v>92</v>
      </c>
      <c r="D125" s="74" t="s">
        <v>664</v>
      </c>
      <c r="E125" s="74" t="s">
        <v>724</v>
      </c>
      <c r="F125" s="71">
        <v>42548</v>
      </c>
      <c r="G125" s="74"/>
      <c r="H125" s="76">
        <v>37.72</v>
      </c>
      <c r="I125" s="74">
        <v>40</v>
      </c>
      <c r="J125" s="76">
        <f t="shared" si="50"/>
        <v>39228.799999999996</v>
      </c>
      <c r="K125" s="76">
        <v>38.479999999999997</v>
      </c>
      <c r="L125" s="74">
        <v>40</v>
      </c>
      <c r="M125" s="76">
        <f t="shared" si="51"/>
        <v>40019.199999999997</v>
      </c>
      <c r="N125" s="77">
        <f t="shared" si="52"/>
        <v>79248</v>
      </c>
      <c r="O125" s="77">
        <f t="shared" si="38"/>
        <v>1524</v>
      </c>
      <c r="P125" s="77">
        <f t="shared" si="39"/>
        <v>304.8</v>
      </c>
      <c r="Q125" s="77">
        <v>0</v>
      </c>
      <c r="R125" s="77">
        <f t="shared" si="40"/>
        <v>1149.096</v>
      </c>
      <c r="S125" s="77">
        <f t="shared" si="47"/>
        <v>18575.731199999998</v>
      </c>
      <c r="T125" s="77">
        <v>32219.75</v>
      </c>
      <c r="U125" s="77">
        <f t="shared" si="48"/>
        <v>2684.9791666666665</v>
      </c>
      <c r="V125" s="77">
        <f t="shared" si="58"/>
        <v>28514.478750000002</v>
      </c>
      <c r="W125" s="77">
        <f t="shared" si="59"/>
        <v>3705.271249999998</v>
      </c>
      <c r="X125" s="77"/>
      <c r="Y125" s="74">
        <v>15</v>
      </c>
      <c r="Z125" s="77">
        <f t="shared" si="53"/>
        <v>4572</v>
      </c>
      <c r="AA125" s="74">
        <v>15</v>
      </c>
      <c r="AB125" s="77">
        <f t="shared" si="54"/>
        <v>4572</v>
      </c>
      <c r="AC125" s="74">
        <v>4</v>
      </c>
      <c r="AD125" s="76">
        <f t="shared" si="55"/>
        <v>1219.2</v>
      </c>
      <c r="AE125" s="78">
        <v>13</v>
      </c>
      <c r="AF125" s="77">
        <f t="shared" si="56"/>
        <v>3962.4</v>
      </c>
      <c r="AH125" s="67">
        <f t="shared" si="57"/>
        <v>132059.30595000001</v>
      </c>
    </row>
    <row r="126" spans="1:34" s="8" customFormat="1" x14ac:dyDescent="0.25">
      <c r="A126" s="74" t="s">
        <v>687</v>
      </c>
      <c r="B126" s="74" t="s">
        <v>680</v>
      </c>
      <c r="C126" s="74" t="s">
        <v>92</v>
      </c>
      <c r="D126" s="74" t="s">
        <v>664</v>
      </c>
      <c r="E126" s="74" t="s">
        <v>724</v>
      </c>
      <c r="F126" s="71">
        <v>39272</v>
      </c>
      <c r="G126" s="74"/>
      <c r="H126" s="76">
        <v>38.57</v>
      </c>
      <c r="I126" s="74">
        <v>40</v>
      </c>
      <c r="J126" s="76">
        <f t="shared" si="50"/>
        <v>40112.799999999996</v>
      </c>
      <c r="K126" s="76">
        <v>39.340000000000003</v>
      </c>
      <c r="L126" s="74">
        <v>40</v>
      </c>
      <c r="M126" s="76">
        <f t="shared" si="51"/>
        <v>40913.600000000006</v>
      </c>
      <c r="N126" s="77">
        <f t="shared" si="52"/>
        <v>81026.399999999994</v>
      </c>
      <c r="O126" s="77">
        <f t="shared" si="38"/>
        <v>1558.1999999999998</v>
      </c>
      <c r="P126" s="77">
        <f t="shared" si="39"/>
        <v>311.64</v>
      </c>
      <c r="Q126" s="77">
        <v>0</v>
      </c>
      <c r="R126" s="77">
        <f t="shared" si="40"/>
        <v>1174.8828000000001</v>
      </c>
      <c r="S126" s="77">
        <f t="shared" si="47"/>
        <v>18992.588159999999</v>
      </c>
      <c r="T126" s="77">
        <v>32219.75</v>
      </c>
      <c r="U126" s="77">
        <f t="shared" si="48"/>
        <v>2684.9791666666665</v>
      </c>
      <c r="V126" s="77">
        <f t="shared" si="58"/>
        <v>28514.478750000002</v>
      </c>
      <c r="W126" s="77">
        <f t="shared" si="59"/>
        <v>3705.271249999998</v>
      </c>
      <c r="X126" s="77"/>
      <c r="Y126" s="74">
        <v>15</v>
      </c>
      <c r="Z126" s="77">
        <f t="shared" si="53"/>
        <v>4674.5999999999995</v>
      </c>
      <c r="AA126" s="74">
        <v>21</v>
      </c>
      <c r="AB126" s="77">
        <f t="shared" si="54"/>
        <v>6544.44</v>
      </c>
      <c r="AC126" s="74">
        <v>4</v>
      </c>
      <c r="AD126" s="76">
        <f t="shared" si="55"/>
        <v>1246.56</v>
      </c>
      <c r="AE126" s="78">
        <v>13</v>
      </c>
      <c r="AF126" s="77">
        <f t="shared" si="56"/>
        <v>4051.3199999999997</v>
      </c>
      <c r="AH126" s="67">
        <f t="shared" si="57"/>
        <v>134382.94970999999</v>
      </c>
    </row>
    <row r="127" spans="1:34" s="8" customFormat="1" x14ac:dyDescent="0.25">
      <c r="A127" s="74" t="s">
        <v>688</v>
      </c>
      <c r="B127" s="74" t="s">
        <v>765</v>
      </c>
      <c r="C127" s="74" t="s">
        <v>92</v>
      </c>
      <c r="D127" s="74" t="s">
        <v>664</v>
      </c>
      <c r="E127" s="74" t="s">
        <v>724</v>
      </c>
      <c r="F127" s="71">
        <v>39640</v>
      </c>
      <c r="G127" s="74"/>
      <c r="H127" s="76">
        <v>38.57</v>
      </c>
      <c r="I127" s="74">
        <v>40</v>
      </c>
      <c r="J127" s="76">
        <f t="shared" si="50"/>
        <v>40112.799999999996</v>
      </c>
      <c r="K127" s="76">
        <v>39.340000000000003</v>
      </c>
      <c r="L127" s="74">
        <v>40</v>
      </c>
      <c r="M127" s="76">
        <f t="shared" si="51"/>
        <v>40913.600000000006</v>
      </c>
      <c r="N127" s="77">
        <f t="shared" si="52"/>
        <v>81026.399999999994</v>
      </c>
      <c r="O127" s="77">
        <f t="shared" si="38"/>
        <v>1558.1999999999998</v>
      </c>
      <c r="P127" s="77">
        <f t="shared" si="39"/>
        <v>311.64</v>
      </c>
      <c r="Q127" s="77">
        <v>0</v>
      </c>
      <c r="R127" s="77">
        <f t="shared" si="40"/>
        <v>1174.8828000000001</v>
      </c>
      <c r="S127" s="77">
        <f t="shared" si="47"/>
        <v>18992.588159999999</v>
      </c>
      <c r="T127" s="77">
        <v>32219.75</v>
      </c>
      <c r="U127" s="77">
        <f t="shared" si="48"/>
        <v>2684.9791666666665</v>
      </c>
      <c r="V127" s="77">
        <f t="shared" si="58"/>
        <v>28514.478750000002</v>
      </c>
      <c r="W127" s="77">
        <f t="shared" si="59"/>
        <v>3705.271249999998</v>
      </c>
      <c r="X127" s="77">
        <v>4000</v>
      </c>
      <c r="Y127" s="74">
        <v>15</v>
      </c>
      <c r="Z127" s="77">
        <f t="shared" si="53"/>
        <v>4674.5999999999995</v>
      </c>
      <c r="AA127" s="74">
        <v>21</v>
      </c>
      <c r="AB127" s="77">
        <f t="shared" si="54"/>
        <v>6544.44</v>
      </c>
      <c r="AC127" s="74">
        <v>4</v>
      </c>
      <c r="AD127" s="76">
        <f t="shared" si="55"/>
        <v>1246.56</v>
      </c>
      <c r="AE127" s="78">
        <v>13</v>
      </c>
      <c r="AF127" s="77">
        <f t="shared" si="56"/>
        <v>4051.3199999999997</v>
      </c>
      <c r="AH127" s="67">
        <f t="shared" si="57"/>
        <v>138382.94970999999</v>
      </c>
    </row>
    <row r="128" spans="1:34" s="8" customFormat="1" x14ac:dyDescent="0.25">
      <c r="A128" s="74" t="s">
        <v>704</v>
      </c>
      <c r="B128" s="74" t="s">
        <v>691</v>
      </c>
      <c r="C128" s="74" t="s">
        <v>92</v>
      </c>
      <c r="D128" s="74" t="s">
        <v>664</v>
      </c>
      <c r="E128" s="74" t="s">
        <v>724</v>
      </c>
      <c r="F128" s="71">
        <v>42548</v>
      </c>
      <c r="G128" s="74"/>
      <c r="H128" s="76">
        <v>37.72</v>
      </c>
      <c r="I128" s="74">
        <v>40</v>
      </c>
      <c r="J128" s="76">
        <f t="shared" si="50"/>
        <v>39228.799999999996</v>
      </c>
      <c r="K128" s="76">
        <v>38.479999999999997</v>
      </c>
      <c r="L128" s="74">
        <v>40</v>
      </c>
      <c r="M128" s="76">
        <f t="shared" si="51"/>
        <v>40019.199999999997</v>
      </c>
      <c r="N128" s="77">
        <f t="shared" si="52"/>
        <v>79248</v>
      </c>
      <c r="O128" s="77">
        <f t="shared" si="38"/>
        <v>1524</v>
      </c>
      <c r="P128" s="77">
        <f t="shared" si="39"/>
        <v>304.8</v>
      </c>
      <c r="Q128" s="77">
        <v>0</v>
      </c>
      <c r="R128" s="77">
        <f t="shared" si="40"/>
        <v>1149.096</v>
      </c>
      <c r="S128" s="77">
        <f t="shared" si="47"/>
        <v>18575.731199999998</v>
      </c>
      <c r="T128" s="77">
        <v>12291.92</v>
      </c>
      <c r="U128" s="77">
        <f t="shared" si="48"/>
        <v>1024.3266666666666</v>
      </c>
      <c r="V128" s="77">
        <f t="shared" si="58"/>
        <v>10878.349200000001</v>
      </c>
      <c r="W128" s="77">
        <f t="shared" si="59"/>
        <v>1413.5707999999995</v>
      </c>
      <c r="X128" s="77"/>
      <c r="Y128" s="74">
        <v>15</v>
      </c>
      <c r="Z128" s="77">
        <f t="shared" si="53"/>
        <v>4572</v>
      </c>
      <c r="AA128" s="74">
        <v>15</v>
      </c>
      <c r="AB128" s="77">
        <f t="shared" si="54"/>
        <v>4572</v>
      </c>
      <c r="AC128" s="74">
        <v>4</v>
      </c>
      <c r="AD128" s="76">
        <f t="shared" si="55"/>
        <v>1219.2</v>
      </c>
      <c r="AE128" s="78">
        <v>13</v>
      </c>
      <c r="AF128" s="77">
        <f t="shared" si="56"/>
        <v>3962.4</v>
      </c>
      <c r="AH128" s="67">
        <f t="shared" si="57"/>
        <v>114423.1764</v>
      </c>
    </row>
    <row r="129" spans="1:34" s="8" customFormat="1" x14ac:dyDescent="0.25">
      <c r="A129" s="74" t="s">
        <v>766</v>
      </c>
      <c r="B129" s="74"/>
      <c r="C129" s="74" t="s">
        <v>92</v>
      </c>
      <c r="D129" s="74" t="s">
        <v>664</v>
      </c>
      <c r="E129" s="74" t="s">
        <v>724</v>
      </c>
      <c r="F129" s="74"/>
      <c r="G129" s="74"/>
      <c r="H129" s="76">
        <v>34.29</v>
      </c>
      <c r="I129" s="74">
        <v>40</v>
      </c>
      <c r="J129" s="76">
        <f t="shared" si="50"/>
        <v>35661.599999999999</v>
      </c>
      <c r="K129" s="76">
        <v>34.97</v>
      </c>
      <c r="L129" s="74">
        <v>40</v>
      </c>
      <c r="M129" s="76">
        <f t="shared" si="51"/>
        <v>36368.799999999996</v>
      </c>
      <c r="N129" s="77">
        <f t="shared" si="52"/>
        <v>72030.399999999994</v>
      </c>
      <c r="O129" s="77">
        <f t="shared" si="38"/>
        <v>1385.1999999999998</v>
      </c>
      <c r="P129" s="77">
        <f t="shared" si="39"/>
        <v>277.03999999999996</v>
      </c>
      <c r="Q129" s="77">
        <v>0</v>
      </c>
      <c r="R129" s="77">
        <f t="shared" si="40"/>
        <v>1044.4408000000001</v>
      </c>
      <c r="S129" s="77">
        <f t="shared" si="47"/>
        <v>16883.925759999998</v>
      </c>
      <c r="T129" s="77">
        <f>+(12*U129)</f>
        <v>0</v>
      </c>
      <c r="U129" s="77"/>
      <c r="V129" s="77"/>
      <c r="W129" s="77"/>
      <c r="X129" s="77"/>
      <c r="Y129" s="74">
        <v>15</v>
      </c>
      <c r="Z129" s="77">
        <f t="shared" si="53"/>
        <v>4155.5999999999995</v>
      </c>
      <c r="AA129" s="74">
        <v>10</v>
      </c>
      <c r="AB129" s="77">
        <f t="shared" si="54"/>
        <v>2770.3999999999996</v>
      </c>
      <c r="AC129" s="74">
        <v>4</v>
      </c>
      <c r="AD129" s="76">
        <f t="shared" si="55"/>
        <v>1108.1599999999999</v>
      </c>
      <c r="AE129" s="78">
        <v>13</v>
      </c>
      <c r="AF129" s="77">
        <f t="shared" si="56"/>
        <v>3601.5199999999995</v>
      </c>
      <c r="AH129" s="67">
        <f t="shared" si="57"/>
        <v>94114.366559999995</v>
      </c>
    </row>
    <row r="130" spans="1:34" s="8" customFormat="1" x14ac:dyDescent="0.25">
      <c r="A130" s="74" t="s">
        <v>766</v>
      </c>
      <c r="B130" s="74"/>
      <c r="C130" s="74" t="s">
        <v>92</v>
      </c>
      <c r="D130" s="74" t="s">
        <v>664</v>
      </c>
      <c r="E130" s="74" t="s">
        <v>724</v>
      </c>
      <c r="F130" s="74"/>
      <c r="G130" s="74"/>
      <c r="H130" s="76">
        <v>34.29</v>
      </c>
      <c r="I130" s="74">
        <v>40</v>
      </c>
      <c r="J130" s="76">
        <f t="shared" si="50"/>
        <v>35661.599999999999</v>
      </c>
      <c r="K130" s="76">
        <v>34.97</v>
      </c>
      <c r="L130" s="74">
        <v>40</v>
      </c>
      <c r="M130" s="76">
        <f t="shared" si="51"/>
        <v>36368.799999999996</v>
      </c>
      <c r="N130" s="77">
        <f t="shared" si="52"/>
        <v>72030.399999999994</v>
      </c>
      <c r="O130" s="77">
        <f t="shared" si="38"/>
        <v>1385.1999999999998</v>
      </c>
      <c r="P130" s="77">
        <f t="shared" si="39"/>
        <v>277.03999999999996</v>
      </c>
      <c r="Q130" s="77">
        <v>0</v>
      </c>
      <c r="R130" s="77">
        <f t="shared" si="40"/>
        <v>1044.4408000000001</v>
      </c>
      <c r="S130" s="77">
        <f t="shared" si="47"/>
        <v>16883.925759999998</v>
      </c>
      <c r="T130" s="77">
        <f>+(12*U130)</f>
        <v>0</v>
      </c>
      <c r="U130" s="77"/>
      <c r="V130" s="77"/>
      <c r="W130" s="77"/>
      <c r="X130" s="77"/>
      <c r="Y130" s="74">
        <v>15</v>
      </c>
      <c r="Z130" s="77">
        <f t="shared" si="53"/>
        <v>4155.5999999999995</v>
      </c>
      <c r="AA130" s="74">
        <v>10</v>
      </c>
      <c r="AB130" s="77">
        <f t="shared" si="54"/>
        <v>2770.3999999999996</v>
      </c>
      <c r="AC130" s="74">
        <v>4</v>
      </c>
      <c r="AD130" s="76">
        <f t="shared" si="55"/>
        <v>1108.1599999999999</v>
      </c>
      <c r="AE130" s="78">
        <v>13</v>
      </c>
      <c r="AF130" s="77">
        <f t="shared" si="56"/>
        <v>3601.5199999999995</v>
      </c>
      <c r="AH130" s="67">
        <f t="shared" si="57"/>
        <v>94114.366559999995</v>
      </c>
    </row>
    <row r="131" spans="1:34" s="8" customFormat="1" x14ac:dyDescent="0.25">
      <c r="A131" s="74" t="s">
        <v>766</v>
      </c>
      <c r="B131" s="74"/>
      <c r="C131" s="74"/>
      <c r="D131" s="74"/>
      <c r="E131" s="74"/>
      <c r="F131" s="74"/>
      <c r="G131" s="74"/>
      <c r="H131" s="76">
        <v>34.29</v>
      </c>
      <c r="I131" s="74">
        <v>40</v>
      </c>
      <c r="J131" s="76">
        <f t="shared" si="50"/>
        <v>35661.599999999999</v>
      </c>
      <c r="K131" s="76">
        <v>34.97</v>
      </c>
      <c r="L131" s="74">
        <v>40</v>
      </c>
      <c r="M131" s="76">
        <f t="shared" si="51"/>
        <v>36368.799999999996</v>
      </c>
      <c r="N131" s="77">
        <f t="shared" si="52"/>
        <v>72030.399999999994</v>
      </c>
      <c r="O131" s="77">
        <f t="shared" si="38"/>
        <v>1385.1999999999998</v>
      </c>
      <c r="P131" s="77">
        <f t="shared" si="39"/>
        <v>277.03999999999996</v>
      </c>
      <c r="Q131" s="77">
        <v>0</v>
      </c>
      <c r="R131" s="77">
        <f t="shared" si="40"/>
        <v>1044.4408000000001</v>
      </c>
      <c r="S131" s="77">
        <f t="shared" si="47"/>
        <v>16883.925759999998</v>
      </c>
      <c r="T131" s="77">
        <f>+(12*U131)</f>
        <v>0</v>
      </c>
      <c r="U131" s="77"/>
      <c r="V131" s="77"/>
      <c r="W131" s="77"/>
      <c r="X131" s="77"/>
      <c r="Y131" s="74">
        <v>15</v>
      </c>
      <c r="Z131" s="77">
        <f t="shared" si="53"/>
        <v>4155.5999999999995</v>
      </c>
      <c r="AA131" s="74">
        <v>10</v>
      </c>
      <c r="AB131" s="77">
        <f t="shared" si="54"/>
        <v>2770.3999999999996</v>
      </c>
      <c r="AC131" s="74">
        <v>4</v>
      </c>
      <c r="AD131" s="76">
        <f t="shared" si="55"/>
        <v>1108.1599999999999</v>
      </c>
      <c r="AE131" s="78">
        <v>13</v>
      </c>
      <c r="AF131" s="77">
        <f t="shared" si="56"/>
        <v>3601.5199999999995</v>
      </c>
      <c r="AH131" s="67">
        <f t="shared" si="57"/>
        <v>94114.366559999995</v>
      </c>
    </row>
    <row r="132" spans="1:34" s="8" customFormat="1" x14ac:dyDescent="0.25">
      <c r="A132" s="74" t="s">
        <v>758</v>
      </c>
      <c r="B132" s="79"/>
      <c r="C132" s="79"/>
      <c r="D132" s="79"/>
      <c r="E132" s="79"/>
      <c r="F132" s="79"/>
      <c r="G132" s="79"/>
      <c r="H132" s="81"/>
      <c r="I132" s="79"/>
      <c r="J132" s="81"/>
      <c r="K132" s="81"/>
      <c r="L132" s="79"/>
      <c r="M132" s="81"/>
      <c r="N132" s="77">
        <v>37584</v>
      </c>
      <c r="O132" s="29"/>
      <c r="P132" s="29"/>
      <c r="Q132" s="77">
        <v>0</v>
      </c>
      <c r="R132" s="77">
        <f t="shared" si="40"/>
        <v>544.96800000000007</v>
      </c>
      <c r="S132" s="77">
        <f t="shared" si="47"/>
        <v>8809.6895999999997</v>
      </c>
      <c r="T132" s="29"/>
      <c r="U132" s="29"/>
      <c r="V132" s="29"/>
      <c r="W132" s="29"/>
      <c r="X132" s="29"/>
      <c r="Y132" s="79"/>
      <c r="Z132" s="29"/>
      <c r="AA132" s="79"/>
      <c r="AB132" s="29"/>
      <c r="AC132" s="79"/>
      <c r="AD132" s="81"/>
      <c r="AE132" s="82"/>
      <c r="AF132" s="29"/>
      <c r="AH132" s="67"/>
    </row>
    <row r="133" spans="1:34" s="8" customFormat="1" x14ac:dyDescent="0.25">
      <c r="A133" s="74" t="s">
        <v>767</v>
      </c>
      <c r="B133" s="79"/>
      <c r="C133" s="79"/>
      <c r="D133" s="79"/>
      <c r="E133" s="79"/>
      <c r="F133" s="79"/>
      <c r="G133" s="79"/>
      <c r="H133" s="81"/>
      <c r="I133" s="79"/>
      <c r="J133" s="81"/>
      <c r="K133" s="81"/>
      <c r="L133" s="79"/>
      <c r="M133" s="81"/>
      <c r="N133" s="77">
        <v>1119</v>
      </c>
      <c r="O133" s="29"/>
      <c r="P133" s="29"/>
      <c r="Q133" s="77">
        <v>0</v>
      </c>
      <c r="R133" s="77">
        <f t="shared" si="40"/>
        <v>16.2255</v>
      </c>
      <c r="S133" s="77">
        <f t="shared" si="47"/>
        <v>262.29359999999997</v>
      </c>
      <c r="T133" s="29"/>
      <c r="U133" s="29"/>
      <c r="V133" s="29"/>
      <c r="W133" s="29"/>
      <c r="X133" s="29"/>
      <c r="Y133" s="79"/>
      <c r="Z133" s="29"/>
      <c r="AA133" s="79"/>
      <c r="AB133" s="29"/>
      <c r="AC133" s="79"/>
      <c r="AD133" s="81"/>
      <c r="AE133" s="82"/>
      <c r="AF133" s="29"/>
      <c r="AH133" s="67"/>
    </row>
    <row r="134" spans="1:34" s="8" customFormat="1" x14ac:dyDescent="0.25">
      <c r="A134" s="74" t="s">
        <v>768</v>
      </c>
      <c r="B134" s="79"/>
      <c r="C134" s="79"/>
      <c r="D134" s="79"/>
      <c r="E134" s="79"/>
      <c r="F134" s="79"/>
      <c r="G134" s="79"/>
      <c r="H134" s="81"/>
      <c r="I134" s="79"/>
      <c r="J134" s="81"/>
      <c r="K134" s="81"/>
      <c r="L134" s="79"/>
      <c r="M134" s="81"/>
      <c r="N134" s="77">
        <v>8668.48</v>
      </c>
      <c r="O134" s="29"/>
      <c r="P134" s="29"/>
      <c r="Q134" s="77">
        <v>0</v>
      </c>
      <c r="R134" s="77">
        <f t="shared" si="40"/>
        <v>125.69296</v>
      </c>
      <c r="S134" s="77">
        <f t="shared" si="47"/>
        <v>2031.8917119999999</v>
      </c>
      <c r="T134" s="29"/>
      <c r="U134" s="29"/>
      <c r="V134" s="29"/>
      <c r="W134" s="29"/>
      <c r="X134" s="29"/>
      <c r="Y134" s="79"/>
      <c r="Z134" s="29"/>
      <c r="AA134" s="79"/>
      <c r="AB134" s="29"/>
      <c r="AC134" s="79"/>
      <c r="AD134" s="81"/>
      <c r="AE134" s="82"/>
      <c r="AF134" s="29"/>
      <c r="AH134" s="67"/>
    </row>
    <row r="135" spans="1:34" s="8" customFormat="1" x14ac:dyDescent="0.25">
      <c r="A135" s="74" t="s">
        <v>769</v>
      </c>
      <c r="B135" s="79"/>
      <c r="C135" s="79"/>
      <c r="D135" s="79"/>
      <c r="E135" s="79"/>
      <c r="F135" s="79"/>
      <c r="G135" s="79"/>
      <c r="H135" s="81"/>
      <c r="I135" s="79"/>
      <c r="J135" s="81"/>
      <c r="K135" s="81"/>
      <c r="L135" s="79"/>
      <c r="M135" s="81"/>
      <c r="N135" s="77">
        <v>335000</v>
      </c>
      <c r="O135" s="29"/>
      <c r="P135" s="29"/>
      <c r="Q135" s="77">
        <v>0</v>
      </c>
      <c r="R135" s="77">
        <f t="shared" si="40"/>
        <v>4857.5</v>
      </c>
      <c r="S135" s="77">
        <f t="shared" si="47"/>
        <v>78524</v>
      </c>
      <c r="T135" s="29"/>
      <c r="U135" s="29"/>
      <c r="V135" s="29"/>
      <c r="W135" s="29"/>
      <c r="X135" s="29"/>
      <c r="Y135" s="79"/>
      <c r="Z135" s="29"/>
      <c r="AA135" s="79"/>
      <c r="AB135" s="29"/>
      <c r="AC135" s="79"/>
      <c r="AD135" s="81"/>
      <c r="AE135" s="82"/>
      <c r="AF135" s="29"/>
      <c r="AH135" s="67"/>
    </row>
    <row r="136" spans="1:34" s="8" customFormat="1" x14ac:dyDescent="0.25">
      <c r="A136" s="74" t="s">
        <v>771</v>
      </c>
      <c r="B136" s="79"/>
      <c r="C136" s="79"/>
      <c r="D136" s="79"/>
      <c r="E136" s="79"/>
      <c r="F136" s="79"/>
      <c r="G136" s="79"/>
      <c r="H136" s="81"/>
      <c r="I136" s="79"/>
      <c r="J136" s="81"/>
      <c r="K136" s="81"/>
      <c r="L136" s="79"/>
      <c r="M136" s="81"/>
      <c r="N136" s="77">
        <v>250000</v>
      </c>
      <c r="O136" s="29"/>
      <c r="P136" s="29"/>
      <c r="Q136" s="77">
        <v>0</v>
      </c>
      <c r="R136" s="77">
        <f t="shared" si="40"/>
        <v>3625</v>
      </c>
      <c r="S136" s="77">
        <f t="shared" si="47"/>
        <v>58600</v>
      </c>
      <c r="T136" s="29"/>
      <c r="U136" s="29"/>
      <c r="V136" s="29"/>
      <c r="W136" s="29"/>
      <c r="X136" s="29"/>
      <c r="Y136" s="79"/>
      <c r="Z136" s="29"/>
      <c r="AA136" s="79"/>
      <c r="AB136" s="29"/>
      <c r="AC136" s="79"/>
      <c r="AD136" s="81"/>
      <c r="AE136" s="82"/>
      <c r="AF136" s="29"/>
      <c r="AH136" s="67"/>
    </row>
    <row r="137" spans="1:34" s="8" customFormat="1" x14ac:dyDescent="0.25">
      <c r="A137" s="74" t="s">
        <v>772</v>
      </c>
      <c r="B137" s="79"/>
      <c r="C137" s="79"/>
      <c r="D137" s="79"/>
      <c r="E137" s="79"/>
      <c r="F137" s="79"/>
      <c r="G137" s="79"/>
      <c r="H137" s="81"/>
      <c r="I137" s="79"/>
      <c r="J137" s="81"/>
      <c r="K137" s="81"/>
      <c r="L137" s="79"/>
      <c r="M137" s="81"/>
      <c r="N137" s="29"/>
      <c r="O137" s="29"/>
      <c r="P137" s="29"/>
      <c r="Q137" s="29"/>
      <c r="R137" s="29"/>
      <c r="S137" s="77">
        <v>7020</v>
      </c>
      <c r="T137" s="29"/>
      <c r="U137" s="29"/>
      <c r="V137" s="29"/>
      <c r="W137" s="29"/>
      <c r="X137" s="29"/>
      <c r="Y137" s="79"/>
      <c r="Z137" s="29"/>
      <c r="AA137" s="79"/>
      <c r="AB137" s="29"/>
      <c r="AC137" s="79"/>
      <c r="AD137" s="81"/>
      <c r="AE137" s="82"/>
      <c r="AF137" s="29"/>
      <c r="AH137" s="67"/>
    </row>
    <row r="138" spans="1:34" s="8" customFormat="1" x14ac:dyDescent="0.25">
      <c r="A138" s="65"/>
      <c r="B138" s="65"/>
      <c r="C138" s="65"/>
      <c r="D138" s="65"/>
      <c r="E138" s="65"/>
      <c r="F138" s="65"/>
      <c r="G138" s="65"/>
      <c r="H138" s="66"/>
      <c r="I138" s="65"/>
      <c r="J138" s="66"/>
      <c r="K138" s="66"/>
      <c r="L138" s="65"/>
      <c r="M138" s="66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5"/>
      <c r="Z138" s="67"/>
      <c r="AA138" s="65"/>
      <c r="AB138" s="67"/>
      <c r="AC138" s="65"/>
      <c r="AD138" s="66"/>
      <c r="AE138" s="69"/>
      <c r="AF138" s="67"/>
      <c r="AH138" s="67"/>
    </row>
    <row r="139" spans="1:34" s="8" customFormat="1" x14ac:dyDescent="0.25">
      <c r="A139" s="65" t="s">
        <v>770</v>
      </c>
      <c r="B139" s="65"/>
      <c r="C139" s="65"/>
      <c r="D139" s="65"/>
      <c r="E139" s="65"/>
      <c r="F139" s="65"/>
      <c r="G139" s="65"/>
      <c r="H139" s="66"/>
      <c r="I139" s="65"/>
      <c r="J139" s="66">
        <f>SUM(J84:J138)</f>
        <v>1868141.6000000015</v>
      </c>
      <c r="K139" s="66"/>
      <c r="L139" s="65"/>
      <c r="M139" s="66">
        <f>SUM(M84:M138)</f>
        <v>1906476.0000000002</v>
      </c>
      <c r="N139" s="67">
        <f>SUM(N84:N138)</f>
        <v>4555327.0799999982</v>
      </c>
      <c r="O139" s="67">
        <f t="shared" ref="O139:S139" si="60">SUM(O84:O138)</f>
        <v>75291.453846153789</v>
      </c>
      <c r="P139" s="67">
        <f t="shared" si="60"/>
        <v>15058.29076923076</v>
      </c>
      <c r="Q139" s="111">
        <f t="shared" si="60"/>
        <v>0</v>
      </c>
      <c r="R139" s="111">
        <f>SUM(R84:R135)</f>
        <v>62427.242659999967</v>
      </c>
      <c r="S139" s="111">
        <f t="shared" si="60"/>
        <v>1074788.6675520006</v>
      </c>
      <c r="T139" s="67">
        <f>SUM(T84:T137)</f>
        <v>763227.87000000011</v>
      </c>
      <c r="U139" s="67">
        <f t="shared" ref="U139:W139" si="61">SUM(U84:U137)</f>
        <v>63602.322499999987</v>
      </c>
      <c r="V139" s="111">
        <f>SUM(V84:V137)</f>
        <v>675456.66495000024</v>
      </c>
      <c r="W139" s="67">
        <f t="shared" si="61"/>
        <v>87771.205049999946</v>
      </c>
      <c r="X139" s="111">
        <f t="shared" ref="X139:AF139" si="62">SUM(X84:X138)</f>
        <v>16000</v>
      </c>
      <c r="Y139" s="65">
        <f t="shared" si="62"/>
        <v>690</v>
      </c>
      <c r="Z139" s="111">
        <f t="shared" si="62"/>
        <v>225874.36153846161</v>
      </c>
      <c r="AA139" s="65">
        <f t="shared" si="62"/>
        <v>812</v>
      </c>
      <c r="AB139" s="67">
        <f t="shared" si="62"/>
        <v>271407.30923076929</v>
      </c>
      <c r="AC139" s="65">
        <f t="shared" si="62"/>
        <v>184</v>
      </c>
      <c r="AD139" s="66">
        <f t="shared" si="62"/>
        <v>60233.16307692304</v>
      </c>
      <c r="AE139" s="69">
        <f t="shared" si="62"/>
        <v>598</v>
      </c>
      <c r="AF139" s="67">
        <f t="shared" si="62"/>
        <v>195757.77999999994</v>
      </c>
      <c r="AH139" s="67"/>
    </row>
    <row r="140" spans="1:34" s="8" customFormat="1" x14ac:dyDescent="0.25">
      <c r="A140" s="65"/>
      <c r="B140" s="65"/>
      <c r="C140" s="65"/>
      <c r="D140" s="65"/>
      <c r="E140" s="65"/>
      <c r="F140" s="65"/>
      <c r="G140" s="65"/>
      <c r="H140" s="66"/>
      <c r="I140" s="65"/>
      <c r="J140" s="66"/>
      <c r="K140" s="66"/>
      <c r="L140" s="65"/>
      <c r="M140" s="66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5"/>
      <c r="Z140" s="67"/>
      <c r="AA140" s="65"/>
      <c r="AB140" s="67"/>
      <c r="AC140" s="65"/>
      <c r="AD140" s="66"/>
      <c r="AE140" s="69"/>
      <c r="AF140" s="67"/>
      <c r="AH140" s="67"/>
    </row>
    <row r="141" spans="1:34" s="8" customFormat="1" x14ac:dyDescent="0.25">
      <c r="A141" s="65" t="s">
        <v>19</v>
      </c>
      <c r="B141" s="65"/>
      <c r="C141" s="65"/>
      <c r="D141" s="65"/>
      <c r="E141" s="65"/>
      <c r="F141" s="65"/>
      <c r="G141" s="65"/>
      <c r="H141" s="66"/>
      <c r="I141" s="65"/>
      <c r="J141" s="66"/>
      <c r="K141" s="66"/>
      <c r="L141" s="65"/>
      <c r="M141" s="66"/>
      <c r="N141" s="67">
        <f>+(N139+N81)</f>
        <v>8933708.1799999997</v>
      </c>
      <c r="O141" s="67"/>
      <c r="P141" s="67"/>
      <c r="Q141" s="111">
        <f>+(Q139+Q81)</f>
        <v>271459.62820000015</v>
      </c>
      <c r="R141" s="111">
        <f>+(R139+R81)</f>
        <v>125913.76861</v>
      </c>
      <c r="S141" s="111">
        <f t="shared" ref="S141:U141" si="63">+(S139+S81)</f>
        <v>1790581.0068020006</v>
      </c>
      <c r="T141" s="67">
        <f t="shared" si="63"/>
        <v>1895626.6800000002</v>
      </c>
      <c r="U141" s="67">
        <f t="shared" si="63"/>
        <v>157968.89000000001</v>
      </c>
      <c r="V141" s="111">
        <f>+(V139+V81)</f>
        <v>1786076.0148</v>
      </c>
      <c r="W141" s="67">
        <f t="shared" ref="W141:AF141" si="64">+(W139+W81)</f>
        <v>87771.205049999946</v>
      </c>
      <c r="X141" s="111">
        <f t="shared" si="64"/>
        <v>54000</v>
      </c>
      <c r="Y141" s="65">
        <f t="shared" si="64"/>
        <v>1521</v>
      </c>
      <c r="Z141" s="111">
        <f t="shared" si="64"/>
        <v>433720.7784615386</v>
      </c>
      <c r="AA141" s="65">
        <f t="shared" si="64"/>
        <v>2049</v>
      </c>
      <c r="AB141" s="67">
        <f t="shared" si="64"/>
        <v>579942.79192307708</v>
      </c>
      <c r="AC141" s="65">
        <f t="shared" si="64"/>
        <v>424</v>
      </c>
      <c r="AD141" s="66">
        <f t="shared" si="64"/>
        <v>119643.69538461533</v>
      </c>
      <c r="AE141" s="69">
        <f t="shared" si="64"/>
        <v>1450</v>
      </c>
      <c r="AF141" s="67">
        <f t="shared" si="64"/>
        <v>408268.75538461533</v>
      </c>
      <c r="AH141" s="67"/>
    </row>
    <row r="142" spans="1:34" s="8" customFormat="1" x14ac:dyDescent="0.25">
      <c r="A142" s="65"/>
      <c r="B142" s="65"/>
      <c r="C142" s="65"/>
      <c r="D142" s="65"/>
      <c r="E142" s="65"/>
      <c r="F142" s="65"/>
      <c r="G142" s="65"/>
      <c r="H142" s="66"/>
      <c r="I142" s="65"/>
      <c r="J142" s="66"/>
      <c r="K142" s="66"/>
      <c r="L142" s="65"/>
      <c r="M142" s="66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5"/>
      <c r="Z142" s="67"/>
      <c r="AA142" s="65"/>
      <c r="AB142" s="67"/>
      <c r="AC142" s="65"/>
      <c r="AD142" s="66"/>
      <c r="AE142" s="69"/>
      <c r="AF142" s="67"/>
      <c r="AH142" s="67"/>
    </row>
    <row r="143" spans="1:34" s="8" customFormat="1" x14ac:dyDescent="0.25">
      <c r="A143" s="65"/>
      <c r="B143" s="65"/>
      <c r="C143" s="65"/>
      <c r="D143" s="65"/>
      <c r="E143" s="65"/>
      <c r="F143" s="65"/>
      <c r="G143" s="65"/>
      <c r="H143" s="66"/>
      <c r="I143" s="65"/>
      <c r="J143" s="66"/>
      <c r="K143" s="66"/>
      <c r="L143" s="65"/>
      <c r="M143" s="66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5"/>
      <c r="Z143" s="67"/>
      <c r="AA143" s="65"/>
      <c r="AB143" s="67"/>
      <c r="AC143" s="65"/>
      <c r="AD143" s="66"/>
      <c r="AE143" s="69"/>
      <c r="AF143" s="67"/>
      <c r="AH143" s="67"/>
    </row>
    <row r="146" spans="14:14" x14ac:dyDescent="0.25">
      <c r="N146" s="27">
        <f>SUM(N103:N131)/29</f>
        <v>78573.793103448261</v>
      </c>
    </row>
    <row r="147" spans="14:14" x14ac:dyDescent="0.25">
      <c r="N147" s="27">
        <f>SUM(N103:N134)</f>
        <v>2326011.4799999995</v>
      </c>
    </row>
  </sheetData>
  <sortState xmlns:xlrd2="http://schemas.microsoft.com/office/spreadsheetml/2017/richdata2" ref="A3:AF79">
    <sortCondition ref="E3:E79"/>
  </sortState>
  <pageMargins left="0.7" right="0.7" top="0.75" bottom="0.75" header="0.3" footer="0.3"/>
  <pageSetup scale="2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E9636-1C77-4207-924E-08BF13067DB9}">
  <sheetPr>
    <pageSetUpPr fitToPage="1"/>
  </sheetPr>
  <dimension ref="A2:AA110"/>
  <sheetViews>
    <sheetView topLeftCell="C1" workbookViewId="0">
      <pane ySplit="2" topLeftCell="A21" activePane="bottomLeft" state="frozen"/>
      <selection pane="bottomLeft" activeCell="F58" sqref="F58"/>
    </sheetView>
  </sheetViews>
  <sheetFormatPr defaultRowHeight="15" x14ac:dyDescent="0.25"/>
  <cols>
    <col min="1" max="1" width="13" customWidth="1"/>
    <col min="2" max="2" width="11.7109375" customWidth="1"/>
    <col min="3" max="3" width="14.5703125" customWidth="1"/>
    <col min="4" max="4" width="16.5703125" customWidth="1"/>
    <col min="5" max="5" width="10" customWidth="1"/>
    <col min="6" max="6" width="15" style="2" customWidth="1"/>
    <col min="7" max="7" width="11.28515625" customWidth="1"/>
    <col min="8" max="8" width="13" customWidth="1"/>
    <col min="9" max="9" width="14.7109375" customWidth="1"/>
    <col min="10" max="10" width="13.28515625" customWidth="1"/>
    <col min="11" max="11" width="15.85546875" customWidth="1"/>
    <col min="12" max="12" width="14.7109375" customWidth="1"/>
    <col min="13" max="13" width="16.42578125" customWidth="1"/>
    <col min="14" max="14" width="14" style="27" customWidth="1"/>
    <col min="15" max="15" width="0.140625" hidden="1" customWidth="1"/>
    <col min="16" max="16" width="11.28515625" customWidth="1"/>
    <col min="17" max="17" width="15.28515625" style="27" customWidth="1"/>
    <col min="18" max="18" width="14.42578125" style="27" customWidth="1"/>
    <col min="19" max="19" width="16.42578125" style="27" customWidth="1"/>
    <col min="20" max="20" width="12" hidden="1" customWidth="1"/>
    <col min="21" max="21" width="12.5703125" style="27" hidden="1" customWidth="1"/>
    <col min="22" max="22" width="11" hidden="1" customWidth="1"/>
    <col min="23" max="23" width="10.7109375" hidden="1" customWidth="1"/>
    <col min="24" max="24" width="9.140625" hidden="1" customWidth="1"/>
    <col min="25" max="25" width="12.5703125" bestFit="1" customWidth="1"/>
    <col min="26" max="26" width="11.5703125" style="27" bestFit="1" customWidth="1"/>
    <col min="27" max="27" width="12.5703125" style="27" bestFit="1" customWidth="1"/>
  </cols>
  <sheetData>
    <row r="2" spans="1:27" ht="150" x14ac:dyDescent="0.25">
      <c r="A2" s="2" t="s">
        <v>503</v>
      </c>
      <c r="B2" s="2" t="s">
        <v>504</v>
      </c>
      <c r="C2" s="2" t="s">
        <v>487</v>
      </c>
      <c r="D2" s="2" t="s">
        <v>488</v>
      </c>
      <c r="E2" s="2" t="s">
        <v>489</v>
      </c>
      <c r="F2" s="2" t="s">
        <v>723</v>
      </c>
      <c r="G2" s="1" t="s">
        <v>530</v>
      </c>
      <c r="H2" s="3" t="s">
        <v>726</v>
      </c>
      <c r="I2" s="1" t="s">
        <v>490</v>
      </c>
      <c r="J2" s="3" t="s">
        <v>727</v>
      </c>
      <c r="K2" s="3" t="s">
        <v>725</v>
      </c>
      <c r="L2" s="1" t="s">
        <v>490</v>
      </c>
      <c r="M2" s="3" t="s">
        <v>728</v>
      </c>
      <c r="N2" s="83" t="s">
        <v>502</v>
      </c>
      <c r="O2" s="3" t="s">
        <v>500</v>
      </c>
      <c r="P2" s="3" t="s">
        <v>501</v>
      </c>
      <c r="Q2" s="83" t="s">
        <v>811</v>
      </c>
      <c r="R2" s="83" t="s">
        <v>812</v>
      </c>
      <c r="S2" s="83" t="s">
        <v>1349</v>
      </c>
      <c r="T2" s="84" t="s">
        <v>491</v>
      </c>
      <c r="U2" s="84" t="s">
        <v>774</v>
      </c>
      <c r="V2" s="83" t="s">
        <v>779</v>
      </c>
      <c r="W2" s="84" t="s">
        <v>780</v>
      </c>
      <c r="X2" s="83" t="s">
        <v>492</v>
      </c>
      <c r="Y2" s="95"/>
      <c r="Z2" s="96"/>
    </row>
    <row r="3" spans="1:27" x14ac:dyDescent="0.25">
      <c r="A3" s="70" t="s">
        <v>560</v>
      </c>
      <c r="B3" s="70" t="s">
        <v>561</v>
      </c>
      <c r="C3" s="70" t="s">
        <v>562</v>
      </c>
      <c r="D3" s="70" t="s">
        <v>563</v>
      </c>
      <c r="E3" s="70" t="s">
        <v>552</v>
      </c>
      <c r="F3" s="86">
        <v>42233</v>
      </c>
      <c r="G3" s="79" t="s">
        <v>585</v>
      </c>
      <c r="H3" s="81"/>
      <c r="I3" s="79"/>
      <c r="J3" s="81"/>
      <c r="K3" s="81"/>
      <c r="L3" s="79"/>
      <c r="M3" s="81"/>
      <c r="N3" s="28">
        <v>65546</v>
      </c>
      <c r="O3" s="28">
        <f t="shared" ref="O3:O10" si="0">+(N3/52)</f>
        <v>1260.5</v>
      </c>
      <c r="P3" s="28">
        <f t="shared" ref="P3:P10" si="1">+(O3/5)</f>
        <v>252.1</v>
      </c>
      <c r="Q3" s="28">
        <f t="shared" ref="Q3:Q10" si="2">+(N3*0.062)</f>
        <v>4063.8519999999999</v>
      </c>
      <c r="R3" s="28">
        <f t="shared" ref="R3:R10" si="3">+(N3*0.0145)</f>
        <v>950.41700000000003</v>
      </c>
      <c r="S3" s="28">
        <f>+(N3*0.1675)</f>
        <v>10978.955</v>
      </c>
      <c r="T3" s="28">
        <f t="shared" ref="T3:T10" si="4">+(12*U3)</f>
        <v>0</v>
      </c>
      <c r="U3" s="28"/>
      <c r="V3" s="28"/>
      <c r="W3" s="28"/>
      <c r="X3" s="94"/>
      <c r="Y3" s="97"/>
      <c r="Z3" s="98"/>
    </row>
    <row r="4" spans="1:27" x14ac:dyDescent="0.25">
      <c r="A4" s="70" t="s">
        <v>524</v>
      </c>
      <c r="B4" s="70" t="s">
        <v>525</v>
      </c>
      <c r="C4" s="70" t="s">
        <v>84</v>
      </c>
      <c r="D4" s="70" t="s">
        <v>526</v>
      </c>
      <c r="E4" s="70" t="s">
        <v>552</v>
      </c>
      <c r="F4" s="86">
        <v>42562</v>
      </c>
      <c r="G4" s="79" t="s">
        <v>817</v>
      </c>
      <c r="H4" s="81"/>
      <c r="I4" s="79"/>
      <c r="J4" s="81"/>
      <c r="K4" s="81"/>
      <c r="L4" s="79"/>
      <c r="M4" s="81"/>
      <c r="N4" s="28">
        <v>103793</v>
      </c>
      <c r="O4" s="28">
        <f t="shared" si="0"/>
        <v>1996.0192307692307</v>
      </c>
      <c r="P4" s="28">
        <f t="shared" si="1"/>
        <v>399.20384615384614</v>
      </c>
      <c r="Q4" s="28">
        <f t="shared" si="2"/>
        <v>6435.1660000000002</v>
      </c>
      <c r="R4" s="28">
        <f t="shared" si="3"/>
        <v>1504.9985000000001</v>
      </c>
      <c r="S4" s="28">
        <f t="shared" ref="S4:S10" si="5">+(N4*0.1675)</f>
        <v>17385.327499999999</v>
      </c>
      <c r="T4" s="28">
        <f t="shared" si="4"/>
        <v>30980.52</v>
      </c>
      <c r="U4" s="28">
        <v>2581.71</v>
      </c>
      <c r="V4" s="28"/>
      <c r="W4" s="28"/>
      <c r="X4" s="94"/>
      <c r="Y4" s="97"/>
      <c r="Z4" s="98"/>
    </row>
    <row r="5" spans="1:27" x14ac:dyDescent="0.25">
      <c r="A5" s="70" t="s">
        <v>587</v>
      </c>
      <c r="B5" s="70" t="s">
        <v>588</v>
      </c>
      <c r="C5" s="70" t="s">
        <v>105</v>
      </c>
      <c r="D5" s="70" t="s">
        <v>589</v>
      </c>
      <c r="E5" s="70" t="s">
        <v>552</v>
      </c>
      <c r="F5" s="86">
        <v>34960</v>
      </c>
      <c r="G5" s="79" t="s">
        <v>818</v>
      </c>
      <c r="H5" s="81"/>
      <c r="I5" s="79"/>
      <c r="J5" s="81"/>
      <c r="K5" s="81"/>
      <c r="L5" s="79"/>
      <c r="M5" s="81"/>
      <c r="N5" s="28">
        <v>78522</v>
      </c>
      <c r="O5" s="28">
        <f t="shared" si="0"/>
        <v>1510.0384615384614</v>
      </c>
      <c r="P5" s="28">
        <f t="shared" si="1"/>
        <v>302.00769230769231</v>
      </c>
      <c r="Q5" s="28">
        <f t="shared" si="2"/>
        <v>4868.3639999999996</v>
      </c>
      <c r="R5" s="28">
        <f t="shared" si="3"/>
        <v>1138.569</v>
      </c>
      <c r="S5" s="28">
        <f t="shared" si="5"/>
        <v>13152.435000000001</v>
      </c>
      <c r="T5" s="28">
        <f t="shared" si="4"/>
        <v>0</v>
      </c>
      <c r="U5" s="28"/>
      <c r="V5" s="28"/>
      <c r="W5" s="28"/>
      <c r="X5" s="94"/>
      <c r="Y5" s="97"/>
      <c r="Z5" s="98"/>
    </row>
    <row r="6" spans="1:27" x14ac:dyDescent="0.25">
      <c r="A6" s="70" t="s">
        <v>601</v>
      </c>
      <c r="B6" s="70" t="s">
        <v>602</v>
      </c>
      <c r="C6" s="70" t="s">
        <v>603</v>
      </c>
      <c r="D6" s="70" t="s">
        <v>589</v>
      </c>
      <c r="E6" s="70" t="s">
        <v>552</v>
      </c>
      <c r="F6" s="86">
        <v>35941</v>
      </c>
      <c r="G6" s="79" t="s">
        <v>583</v>
      </c>
      <c r="H6" s="81"/>
      <c r="I6" s="79"/>
      <c r="J6" s="81"/>
      <c r="K6" s="81"/>
      <c r="L6" s="79"/>
      <c r="M6" s="81"/>
      <c r="N6" s="28">
        <v>75066</v>
      </c>
      <c r="O6" s="28">
        <f t="shared" si="0"/>
        <v>1443.5769230769231</v>
      </c>
      <c r="P6" s="28">
        <f t="shared" si="1"/>
        <v>288.71538461538461</v>
      </c>
      <c r="Q6" s="28">
        <f t="shared" si="2"/>
        <v>4654.0919999999996</v>
      </c>
      <c r="R6" s="28">
        <f t="shared" si="3"/>
        <v>1088.4570000000001</v>
      </c>
      <c r="S6" s="28">
        <f t="shared" si="5"/>
        <v>12573.555</v>
      </c>
      <c r="T6" s="28">
        <f t="shared" si="4"/>
        <v>30980.52</v>
      </c>
      <c r="U6" s="28">
        <v>2581.71</v>
      </c>
      <c r="V6" s="28"/>
      <c r="W6" s="28"/>
      <c r="X6" s="94"/>
      <c r="Y6" s="97"/>
      <c r="Z6" s="98"/>
    </row>
    <row r="7" spans="1:27" x14ac:dyDescent="0.25">
      <c r="A7" s="70" t="s">
        <v>720</v>
      </c>
      <c r="B7" s="70" t="s">
        <v>721</v>
      </c>
      <c r="C7" s="70" t="s">
        <v>107</v>
      </c>
      <c r="D7" s="70" t="s">
        <v>589</v>
      </c>
      <c r="E7" s="70" t="s">
        <v>552</v>
      </c>
      <c r="F7" s="86">
        <v>39163</v>
      </c>
      <c r="G7" s="79" t="s">
        <v>583</v>
      </c>
      <c r="H7" s="81"/>
      <c r="I7" s="79"/>
      <c r="J7" s="81"/>
      <c r="K7" s="81"/>
      <c r="L7" s="79"/>
      <c r="M7" s="81"/>
      <c r="N7" s="28">
        <v>75066</v>
      </c>
      <c r="O7" s="28">
        <f t="shared" si="0"/>
        <v>1443.5769230769231</v>
      </c>
      <c r="P7" s="28">
        <f t="shared" si="1"/>
        <v>288.71538461538461</v>
      </c>
      <c r="Q7" s="28">
        <f t="shared" si="2"/>
        <v>4654.0919999999996</v>
      </c>
      <c r="R7" s="28">
        <f t="shared" si="3"/>
        <v>1088.4570000000001</v>
      </c>
      <c r="S7" s="28">
        <f t="shared" si="5"/>
        <v>12573.555</v>
      </c>
      <c r="T7" s="28">
        <f t="shared" si="4"/>
        <v>30980.52</v>
      </c>
      <c r="U7" s="28">
        <v>2581.71</v>
      </c>
      <c r="V7" s="28"/>
      <c r="W7" s="28"/>
      <c r="X7" s="94"/>
      <c r="Y7" s="97"/>
      <c r="Z7" s="98"/>
    </row>
    <row r="8" spans="1:27" x14ac:dyDescent="0.25">
      <c r="A8" s="70" t="s">
        <v>556</v>
      </c>
      <c r="B8" s="70" t="s">
        <v>545</v>
      </c>
      <c r="C8" s="70" t="s">
        <v>102</v>
      </c>
      <c r="D8" s="70" t="s">
        <v>102</v>
      </c>
      <c r="E8" s="70" t="s">
        <v>552</v>
      </c>
      <c r="F8" s="75">
        <v>44229</v>
      </c>
      <c r="G8" s="79" t="s">
        <v>816</v>
      </c>
      <c r="H8" s="81"/>
      <c r="I8" s="79"/>
      <c r="J8" s="81"/>
      <c r="K8" s="81"/>
      <c r="L8" s="79"/>
      <c r="M8" s="81"/>
      <c r="N8" s="28">
        <v>87836</v>
      </c>
      <c r="O8" s="28">
        <f t="shared" si="0"/>
        <v>1689.1538461538462</v>
      </c>
      <c r="P8" s="28">
        <f t="shared" si="1"/>
        <v>337.83076923076925</v>
      </c>
      <c r="Q8" s="28">
        <f t="shared" si="2"/>
        <v>5445.8320000000003</v>
      </c>
      <c r="R8" s="28">
        <f t="shared" si="3"/>
        <v>1273.6220000000001</v>
      </c>
      <c r="S8" s="28">
        <f t="shared" si="5"/>
        <v>14712.53</v>
      </c>
      <c r="T8" s="28">
        <f t="shared" si="4"/>
        <v>0</v>
      </c>
      <c r="U8" s="28"/>
      <c r="V8" s="28"/>
      <c r="W8" s="28"/>
      <c r="X8" s="94"/>
      <c r="Y8" s="97"/>
      <c r="Z8" s="98"/>
    </row>
    <row r="9" spans="1:27" x14ac:dyDescent="0.25">
      <c r="A9" s="70" t="s">
        <v>517</v>
      </c>
      <c r="B9" s="70" t="s">
        <v>518</v>
      </c>
      <c r="C9" s="70" t="s">
        <v>519</v>
      </c>
      <c r="D9" s="70" t="s">
        <v>519</v>
      </c>
      <c r="E9" s="70" t="s">
        <v>552</v>
      </c>
      <c r="F9" s="86">
        <v>35416</v>
      </c>
      <c r="G9" s="79" t="s">
        <v>585</v>
      </c>
      <c r="H9" s="81"/>
      <c r="I9" s="79"/>
      <c r="J9" s="81"/>
      <c r="K9" s="81"/>
      <c r="L9" s="79"/>
      <c r="M9" s="81"/>
      <c r="N9" s="28">
        <v>65546</v>
      </c>
      <c r="O9" s="28">
        <f t="shared" si="0"/>
        <v>1260.5</v>
      </c>
      <c r="P9" s="28">
        <f t="shared" si="1"/>
        <v>252.1</v>
      </c>
      <c r="Q9" s="28">
        <f t="shared" si="2"/>
        <v>4063.8519999999999</v>
      </c>
      <c r="R9" s="28">
        <f t="shared" si="3"/>
        <v>950.41700000000003</v>
      </c>
      <c r="S9" s="28">
        <f t="shared" si="5"/>
        <v>10978.955</v>
      </c>
      <c r="T9" s="28">
        <f t="shared" si="4"/>
        <v>11819.16</v>
      </c>
      <c r="U9" s="28">
        <v>984.93</v>
      </c>
      <c r="V9" s="28"/>
      <c r="W9" s="28"/>
      <c r="X9" s="94"/>
      <c r="Y9" s="97"/>
      <c r="Z9" s="98"/>
    </row>
    <row r="10" spans="1:27" x14ac:dyDescent="0.25">
      <c r="A10" s="70" t="s">
        <v>548</v>
      </c>
      <c r="B10" s="70" t="s">
        <v>549</v>
      </c>
      <c r="C10" s="70" t="s">
        <v>550</v>
      </c>
      <c r="D10" s="70" t="s">
        <v>551</v>
      </c>
      <c r="E10" s="70" t="s">
        <v>552</v>
      </c>
      <c r="F10" s="86">
        <v>39051</v>
      </c>
      <c r="G10" s="79" t="s">
        <v>583</v>
      </c>
      <c r="H10" s="81"/>
      <c r="I10" s="79"/>
      <c r="J10" s="81"/>
      <c r="K10" s="81"/>
      <c r="L10" s="79"/>
      <c r="M10" s="81"/>
      <c r="N10" s="28">
        <v>75066</v>
      </c>
      <c r="O10" s="28">
        <f t="shared" si="0"/>
        <v>1443.5769230769231</v>
      </c>
      <c r="P10" s="28">
        <f t="shared" si="1"/>
        <v>288.71538461538461</v>
      </c>
      <c r="Q10" s="28">
        <f t="shared" si="2"/>
        <v>4654.0919999999996</v>
      </c>
      <c r="R10" s="28">
        <f t="shared" si="3"/>
        <v>1088.4570000000001</v>
      </c>
      <c r="S10" s="28">
        <f t="shared" si="5"/>
        <v>12573.555</v>
      </c>
      <c r="T10" s="28">
        <f t="shared" si="4"/>
        <v>11819.16</v>
      </c>
      <c r="U10" s="28">
        <v>984.93</v>
      </c>
      <c r="V10" s="28"/>
      <c r="W10" s="28"/>
      <c r="X10" s="94"/>
      <c r="Y10" s="97"/>
      <c r="Z10" s="98"/>
    </row>
    <row r="12" spans="1:27" x14ac:dyDescent="0.25">
      <c r="N12" s="27">
        <f>SUM(N3:N10)</f>
        <v>626441</v>
      </c>
      <c r="Q12" s="27">
        <f t="shared" ref="Q12:S12" si="6">SUM(Q3:Q10)</f>
        <v>38839.341999999997</v>
      </c>
      <c r="R12" s="27">
        <f t="shared" si="6"/>
        <v>9083.3945000000003</v>
      </c>
      <c r="S12" s="27">
        <f t="shared" si="6"/>
        <v>104928.86749999999</v>
      </c>
    </row>
    <row r="13" spans="1:27" x14ac:dyDescent="0.25">
      <c r="M13" s="87">
        <v>0.01</v>
      </c>
      <c r="N13" s="27">
        <f>+(N12*M13)</f>
        <v>6264.41</v>
      </c>
      <c r="Q13" s="27">
        <f>+(Q12*M13)</f>
        <v>388.39341999999999</v>
      </c>
      <c r="R13" s="27">
        <f>+(R12*M13)</f>
        <v>90.833945</v>
      </c>
      <c r="S13" s="27">
        <f>+(S12*M13)</f>
        <v>1049.288675</v>
      </c>
      <c r="U13" s="27">
        <f>SUM(N13:S13)</f>
        <v>7792.9260400000003</v>
      </c>
      <c r="Z13" s="27">
        <f>SUM(N13:S13)</f>
        <v>7792.9260400000003</v>
      </c>
      <c r="AA13" s="27">
        <f t="shared" ref="AA13:AA15" si="7">+(Z13*2)</f>
        <v>15585.852080000001</v>
      </c>
    </row>
    <row r="14" spans="1:27" x14ac:dyDescent="0.25">
      <c r="M14" s="87">
        <v>1.4999999999999999E-2</v>
      </c>
      <c r="N14" s="27">
        <f>+(N12*M14)</f>
        <v>9396.6149999999998</v>
      </c>
      <c r="Q14" s="27">
        <f>+(Q12*M14)</f>
        <v>582.59012999999993</v>
      </c>
      <c r="R14" s="27">
        <f>+(R12*M14)</f>
        <v>136.25091750000001</v>
      </c>
      <c r="S14" s="27">
        <f>+(S12*M14)</f>
        <v>1573.9330124999999</v>
      </c>
      <c r="U14" s="27">
        <f t="shared" ref="U14:U18" si="8">SUM(N14:S14)</f>
        <v>11689.38906</v>
      </c>
      <c r="Z14" s="27">
        <f t="shared" ref="Z14:Z18" si="9">SUM(N14:S14)</f>
        <v>11689.38906</v>
      </c>
      <c r="AA14" s="27">
        <f t="shared" si="7"/>
        <v>23378.778119999999</v>
      </c>
    </row>
    <row r="15" spans="1:27" x14ac:dyDescent="0.25">
      <c r="M15" s="87">
        <v>0.02</v>
      </c>
      <c r="N15" s="27">
        <f>+(N12*M15)</f>
        <v>12528.82</v>
      </c>
      <c r="Q15" s="27">
        <f>+(Q12*M15)</f>
        <v>776.78683999999998</v>
      </c>
      <c r="R15" s="27">
        <f>+(R12*M15)</f>
        <v>181.66789</v>
      </c>
      <c r="S15" s="27">
        <f>+(S12*M15)</f>
        <v>2098.57735</v>
      </c>
      <c r="U15" s="27">
        <f t="shared" si="8"/>
        <v>15585.852080000001</v>
      </c>
      <c r="Z15" s="27">
        <f t="shared" si="9"/>
        <v>15585.852080000001</v>
      </c>
      <c r="AA15" s="27">
        <f t="shared" si="7"/>
        <v>31171.704160000001</v>
      </c>
    </row>
    <row r="16" spans="1:27" x14ac:dyDescent="0.25">
      <c r="M16" s="87">
        <v>2.5000000000000001E-2</v>
      </c>
      <c r="N16" s="27">
        <f>+(N12*M16)</f>
        <v>15661.025000000001</v>
      </c>
      <c r="Q16" s="27">
        <f>+(Q12*M16)</f>
        <v>970.98354999999992</v>
      </c>
      <c r="R16" s="27">
        <f>+(R12*M16)</f>
        <v>227.08486250000001</v>
      </c>
      <c r="S16" s="27">
        <f>+(S12*M16)</f>
        <v>2623.2216874999999</v>
      </c>
      <c r="U16" s="27">
        <f t="shared" si="8"/>
        <v>19482.315100000003</v>
      </c>
      <c r="Z16" s="27">
        <f t="shared" si="9"/>
        <v>19482.315100000003</v>
      </c>
      <c r="AA16" s="27">
        <f>+(Z16*2)</f>
        <v>38964.630200000007</v>
      </c>
    </row>
    <row r="17" spans="1:26" x14ac:dyDescent="0.25">
      <c r="M17" s="87">
        <v>0.03</v>
      </c>
      <c r="N17" s="27">
        <f>+(N12*M17)</f>
        <v>18793.23</v>
      </c>
      <c r="Q17" s="27">
        <f>+(Q12*M17)</f>
        <v>1165.1802599999999</v>
      </c>
      <c r="R17" s="27">
        <f>+(R12*M17)</f>
        <v>272.50183500000003</v>
      </c>
      <c r="S17" s="27">
        <f>+(S12*M17)</f>
        <v>3147.8660249999998</v>
      </c>
      <c r="U17" s="27">
        <f t="shared" si="8"/>
        <v>23378.778119999999</v>
      </c>
      <c r="Z17" s="27">
        <f t="shared" si="9"/>
        <v>23378.778119999999</v>
      </c>
    </row>
    <row r="18" spans="1:26" x14ac:dyDescent="0.25">
      <c r="M18" s="87">
        <v>3.5000000000000003E-2</v>
      </c>
      <c r="N18" s="27">
        <f>+(N12*M18)</f>
        <v>21925.435000000001</v>
      </c>
      <c r="Q18" s="27">
        <f>+(Q12*M18)</f>
        <v>1359.37697</v>
      </c>
      <c r="R18" s="27">
        <f>+(R12*M18)</f>
        <v>317.91880750000001</v>
      </c>
      <c r="S18" s="27">
        <f>+(S12*M18)</f>
        <v>3672.5103625000002</v>
      </c>
      <c r="U18" s="27">
        <f t="shared" si="8"/>
        <v>27275.241140000002</v>
      </c>
      <c r="Z18" s="27">
        <f t="shared" si="9"/>
        <v>27275.241140000002</v>
      </c>
    </row>
    <row r="23" spans="1:26" x14ac:dyDescent="0.25">
      <c r="A23" s="88" t="s">
        <v>729</v>
      </c>
      <c r="B23" s="70" t="s">
        <v>730</v>
      </c>
      <c r="C23" s="70" t="s">
        <v>609</v>
      </c>
      <c r="D23" s="70" t="s">
        <v>802</v>
      </c>
      <c r="E23" s="74" t="s">
        <v>523</v>
      </c>
      <c r="F23" s="71">
        <v>34486</v>
      </c>
      <c r="G23" s="70" t="s">
        <v>796</v>
      </c>
      <c r="H23" s="72">
        <v>28.9</v>
      </c>
      <c r="I23" s="70">
        <v>40</v>
      </c>
      <c r="J23" s="72">
        <f t="shared" ref="J23:J43" si="10">+(I23*H23*26)</f>
        <v>30056</v>
      </c>
      <c r="K23" s="72">
        <v>28.9</v>
      </c>
      <c r="L23" s="70">
        <v>40</v>
      </c>
      <c r="M23" s="72">
        <f t="shared" ref="M23:M43" si="11">+(L23*K23*26)</f>
        <v>30056</v>
      </c>
      <c r="N23" s="28">
        <f t="shared" ref="N23:N43" si="12">+(J23+M23)</f>
        <v>60112</v>
      </c>
      <c r="O23" s="28">
        <f t="shared" ref="O23:O43" si="13">+(N23/52)</f>
        <v>1156</v>
      </c>
      <c r="P23" s="28">
        <f t="shared" ref="P23:P43" si="14">+(O23/5)</f>
        <v>231.2</v>
      </c>
      <c r="Q23" s="28">
        <f t="shared" ref="Q23:Q43" si="15">+(N23*0.062)</f>
        <v>3726.944</v>
      </c>
      <c r="R23" s="28">
        <f t="shared" ref="R23:R43" si="16">+(N23*0.0145)</f>
        <v>871.62400000000002</v>
      </c>
      <c r="S23" s="28">
        <f>+(N23*0.1675)</f>
        <v>10068.76</v>
      </c>
    </row>
    <row r="24" spans="1:26" x14ac:dyDescent="0.25">
      <c r="A24" s="88" t="s">
        <v>733</v>
      </c>
      <c r="B24" s="70" t="s">
        <v>709</v>
      </c>
      <c r="C24" s="70" t="s">
        <v>609</v>
      </c>
      <c r="D24" s="70" t="s">
        <v>803</v>
      </c>
      <c r="E24" s="74" t="s">
        <v>523</v>
      </c>
      <c r="F24" s="71">
        <v>36543</v>
      </c>
      <c r="G24" s="70" t="s">
        <v>796</v>
      </c>
      <c r="H24" s="72">
        <v>28.9</v>
      </c>
      <c r="I24" s="70">
        <v>40</v>
      </c>
      <c r="J24" s="72">
        <f t="shared" si="10"/>
        <v>30056</v>
      </c>
      <c r="K24" s="72">
        <v>28.9</v>
      </c>
      <c r="L24" s="70">
        <v>40</v>
      </c>
      <c r="M24" s="72">
        <f t="shared" si="11"/>
        <v>30056</v>
      </c>
      <c r="N24" s="28">
        <f t="shared" si="12"/>
        <v>60112</v>
      </c>
      <c r="O24" s="28">
        <f t="shared" si="13"/>
        <v>1156</v>
      </c>
      <c r="P24" s="28">
        <f t="shared" si="14"/>
        <v>231.2</v>
      </c>
      <c r="Q24" s="28">
        <f t="shared" si="15"/>
        <v>3726.944</v>
      </c>
      <c r="R24" s="28">
        <f t="shared" si="16"/>
        <v>871.62400000000002</v>
      </c>
      <c r="S24" s="28">
        <f t="shared" ref="S24:S43" si="17">+(N24*0.1675)</f>
        <v>10068.76</v>
      </c>
    </row>
    <row r="25" spans="1:26" x14ac:dyDescent="0.25">
      <c r="A25" s="88" t="s">
        <v>734</v>
      </c>
      <c r="B25" s="70" t="s">
        <v>735</v>
      </c>
      <c r="C25" s="70" t="s">
        <v>609</v>
      </c>
      <c r="D25" s="70" t="s">
        <v>791</v>
      </c>
      <c r="E25" s="74" t="s">
        <v>523</v>
      </c>
      <c r="F25" s="71">
        <v>39225</v>
      </c>
      <c r="G25" s="70" t="s">
        <v>792</v>
      </c>
      <c r="H25" s="72">
        <v>27.96</v>
      </c>
      <c r="I25" s="70">
        <v>40</v>
      </c>
      <c r="J25" s="72">
        <f t="shared" si="10"/>
        <v>29078.400000000001</v>
      </c>
      <c r="K25" s="72">
        <v>27.96</v>
      </c>
      <c r="L25" s="70">
        <v>40</v>
      </c>
      <c r="M25" s="72">
        <f t="shared" si="11"/>
        <v>29078.400000000001</v>
      </c>
      <c r="N25" s="28">
        <f t="shared" si="12"/>
        <v>58156.800000000003</v>
      </c>
      <c r="O25" s="28">
        <f t="shared" si="13"/>
        <v>1118.4000000000001</v>
      </c>
      <c r="P25" s="28">
        <f t="shared" si="14"/>
        <v>223.68</v>
      </c>
      <c r="Q25" s="28">
        <f t="shared" si="15"/>
        <v>3605.7216000000003</v>
      </c>
      <c r="R25" s="28">
        <f t="shared" si="16"/>
        <v>843.2736000000001</v>
      </c>
      <c r="S25" s="28">
        <f t="shared" si="17"/>
        <v>9741.264000000001</v>
      </c>
    </row>
    <row r="26" spans="1:26" x14ac:dyDescent="0.25">
      <c r="A26" s="88" t="s">
        <v>737</v>
      </c>
      <c r="B26" s="70" t="s">
        <v>709</v>
      </c>
      <c r="C26" s="70" t="s">
        <v>609</v>
      </c>
      <c r="D26" s="70" t="s">
        <v>791</v>
      </c>
      <c r="E26" s="74" t="s">
        <v>523</v>
      </c>
      <c r="F26" s="71">
        <v>38244</v>
      </c>
      <c r="G26" s="70" t="s">
        <v>792</v>
      </c>
      <c r="H26" s="72">
        <v>27.96</v>
      </c>
      <c r="I26" s="70">
        <v>40</v>
      </c>
      <c r="J26" s="72">
        <f t="shared" si="10"/>
        <v>29078.400000000001</v>
      </c>
      <c r="K26" s="72">
        <v>27.96</v>
      </c>
      <c r="L26" s="70">
        <v>40</v>
      </c>
      <c r="M26" s="72">
        <f t="shared" si="11"/>
        <v>29078.400000000001</v>
      </c>
      <c r="N26" s="28">
        <f t="shared" si="12"/>
        <v>58156.800000000003</v>
      </c>
      <c r="O26" s="28">
        <f t="shared" si="13"/>
        <v>1118.4000000000001</v>
      </c>
      <c r="P26" s="28">
        <f t="shared" si="14"/>
        <v>223.68</v>
      </c>
      <c r="Q26" s="28">
        <f t="shared" si="15"/>
        <v>3605.7216000000003</v>
      </c>
      <c r="R26" s="28">
        <f t="shared" si="16"/>
        <v>843.2736000000001</v>
      </c>
      <c r="S26" s="28">
        <f t="shared" si="17"/>
        <v>9741.264000000001</v>
      </c>
    </row>
    <row r="27" spans="1:26" x14ac:dyDescent="0.25">
      <c r="A27" s="88" t="s">
        <v>738</v>
      </c>
      <c r="B27" s="70" t="s">
        <v>678</v>
      </c>
      <c r="C27" s="70" t="s">
        <v>609</v>
      </c>
      <c r="D27" s="70" t="s">
        <v>801</v>
      </c>
      <c r="E27" s="74" t="s">
        <v>523</v>
      </c>
      <c r="F27" s="71">
        <v>42408</v>
      </c>
      <c r="G27" s="70" t="s">
        <v>800</v>
      </c>
      <c r="H27" s="72">
        <v>30.28</v>
      </c>
      <c r="I27" s="70">
        <v>40</v>
      </c>
      <c r="J27" s="72">
        <f t="shared" si="10"/>
        <v>31491.200000000001</v>
      </c>
      <c r="K27" s="72">
        <v>30.28</v>
      </c>
      <c r="L27" s="70">
        <v>35</v>
      </c>
      <c r="M27" s="72">
        <f t="shared" si="11"/>
        <v>27554.799999999999</v>
      </c>
      <c r="N27" s="28">
        <f t="shared" si="12"/>
        <v>59046</v>
      </c>
      <c r="O27" s="28">
        <f t="shared" si="13"/>
        <v>1135.5</v>
      </c>
      <c r="P27" s="28">
        <f t="shared" si="14"/>
        <v>227.1</v>
      </c>
      <c r="Q27" s="28">
        <f t="shared" si="15"/>
        <v>3660.8519999999999</v>
      </c>
      <c r="R27" s="28">
        <f t="shared" si="16"/>
        <v>856.16700000000003</v>
      </c>
      <c r="S27" s="28">
        <f t="shared" si="17"/>
        <v>9890.2049999999999</v>
      </c>
    </row>
    <row r="28" spans="1:26" x14ac:dyDescent="0.25">
      <c r="A28" s="88" t="s">
        <v>739</v>
      </c>
      <c r="B28" s="70" t="s">
        <v>545</v>
      </c>
      <c r="C28" s="70" t="s">
        <v>609</v>
      </c>
      <c r="D28" s="70" t="s">
        <v>801</v>
      </c>
      <c r="E28" s="74" t="s">
        <v>523</v>
      </c>
      <c r="F28" s="71">
        <v>39335</v>
      </c>
      <c r="G28" s="70" t="s">
        <v>800</v>
      </c>
      <c r="H28" s="72">
        <v>30.28</v>
      </c>
      <c r="I28" s="70">
        <v>40</v>
      </c>
      <c r="J28" s="72">
        <f t="shared" si="10"/>
        <v>31491.200000000001</v>
      </c>
      <c r="K28" s="72">
        <v>30.28</v>
      </c>
      <c r="L28" s="70">
        <v>35</v>
      </c>
      <c r="M28" s="72">
        <f t="shared" si="11"/>
        <v>27554.799999999999</v>
      </c>
      <c r="N28" s="28">
        <f t="shared" si="12"/>
        <v>59046</v>
      </c>
      <c r="O28" s="28">
        <f t="shared" si="13"/>
        <v>1135.5</v>
      </c>
      <c r="P28" s="28">
        <f t="shared" si="14"/>
        <v>227.1</v>
      </c>
      <c r="Q28" s="28">
        <f t="shared" si="15"/>
        <v>3660.8519999999999</v>
      </c>
      <c r="R28" s="28">
        <f t="shared" si="16"/>
        <v>856.16700000000003</v>
      </c>
      <c r="S28" s="28">
        <f t="shared" si="17"/>
        <v>9890.2049999999999</v>
      </c>
    </row>
    <row r="29" spans="1:26" x14ac:dyDescent="0.25">
      <c r="A29" s="88" t="s">
        <v>740</v>
      </c>
      <c r="B29" s="70" t="s">
        <v>741</v>
      </c>
      <c r="C29" s="70" t="s">
        <v>609</v>
      </c>
      <c r="D29" s="70" t="s">
        <v>791</v>
      </c>
      <c r="E29" s="74" t="s">
        <v>523</v>
      </c>
      <c r="F29" s="71">
        <v>42136</v>
      </c>
      <c r="G29" s="70" t="s">
        <v>792</v>
      </c>
      <c r="H29" s="72">
        <v>27.96</v>
      </c>
      <c r="I29" s="70">
        <v>40</v>
      </c>
      <c r="J29" s="72">
        <f t="shared" si="10"/>
        <v>29078.400000000001</v>
      </c>
      <c r="K29" s="72">
        <v>27.96</v>
      </c>
      <c r="L29" s="70">
        <v>40</v>
      </c>
      <c r="M29" s="72">
        <f t="shared" si="11"/>
        <v>29078.400000000001</v>
      </c>
      <c r="N29" s="28">
        <f t="shared" si="12"/>
        <v>58156.800000000003</v>
      </c>
      <c r="O29" s="28">
        <f t="shared" si="13"/>
        <v>1118.4000000000001</v>
      </c>
      <c r="P29" s="28">
        <f t="shared" si="14"/>
        <v>223.68</v>
      </c>
      <c r="Q29" s="28">
        <f t="shared" si="15"/>
        <v>3605.7216000000003</v>
      </c>
      <c r="R29" s="28">
        <f t="shared" si="16"/>
        <v>843.2736000000001</v>
      </c>
      <c r="S29" s="28">
        <f t="shared" si="17"/>
        <v>9741.264000000001</v>
      </c>
    </row>
    <row r="30" spans="1:26" x14ac:dyDescent="0.25">
      <c r="A30" s="88" t="s">
        <v>742</v>
      </c>
      <c r="B30" s="70" t="s">
        <v>629</v>
      </c>
      <c r="C30" s="70" t="s">
        <v>609</v>
      </c>
      <c r="D30" s="70" t="s">
        <v>795</v>
      </c>
      <c r="E30" s="74" t="s">
        <v>523</v>
      </c>
      <c r="F30" s="71">
        <v>37404</v>
      </c>
      <c r="G30" s="70" t="s">
        <v>804</v>
      </c>
      <c r="H30" s="72">
        <v>29.52</v>
      </c>
      <c r="I30" s="70">
        <v>40</v>
      </c>
      <c r="J30" s="72">
        <f t="shared" si="10"/>
        <v>30700.799999999999</v>
      </c>
      <c r="K30" s="72">
        <v>29.52</v>
      </c>
      <c r="L30" s="70">
        <v>40</v>
      </c>
      <c r="M30" s="72">
        <f t="shared" si="11"/>
        <v>30700.799999999999</v>
      </c>
      <c r="N30" s="28">
        <f t="shared" si="12"/>
        <v>61401.599999999999</v>
      </c>
      <c r="O30" s="28">
        <f t="shared" si="13"/>
        <v>1180.8</v>
      </c>
      <c r="P30" s="28">
        <f t="shared" si="14"/>
        <v>236.16</v>
      </c>
      <c r="Q30" s="28">
        <f t="shared" si="15"/>
        <v>3806.8991999999998</v>
      </c>
      <c r="R30" s="28">
        <f t="shared" si="16"/>
        <v>890.32320000000004</v>
      </c>
      <c r="S30" s="28">
        <f t="shared" si="17"/>
        <v>10284.768</v>
      </c>
    </row>
    <row r="31" spans="1:26" x14ac:dyDescent="0.25">
      <c r="A31" s="88" t="s">
        <v>743</v>
      </c>
      <c r="B31" s="70" t="s">
        <v>670</v>
      </c>
      <c r="C31" s="70" t="s">
        <v>609</v>
      </c>
      <c r="D31" s="70" t="s">
        <v>801</v>
      </c>
      <c r="E31" s="74" t="s">
        <v>523</v>
      </c>
      <c r="F31" s="71">
        <v>35889</v>
      </c>
      <c r="G31" s="70" t="s">
        <v>800</v>
      </c>
      <c r="H31" s="72">
        <v>30.28</v>
      </c>
      <c r="I31" s="70">
        <v>40</v>
      </c>
      <c r="J31" s="72">
        <f t="shared" si="10"/>
        <v>31491.200000000001</v>
      </c>
      <c r="K31" s="72">
        <v>30.28</v>
      </c>
      <c r="L31" s="70">
        <v>35</v>
      </c>
      <c r="M31" s="72">
        <f t="shared" si="11"/>
        <v>27554.799999999999</v>
      </c>
      <c r="N31" s="28">
        <f t="shared" si="12"/>
        <v>59046</v>
      </c>
      <c r="O31" s="28">
        <f t="shared" si="13"/>
        <v>1135.5</v>
      </c>
      <c r="P31" s="28">
        <f t="shared" si="14"/>
        <v>227.1</v>
      </c>
      <c r="Q31" s="28">
        <f t="shared" si="15"/>
        <v>3660.8519999999999</v>
      </c>
      <c r="R31" s="28">
        <f t="shared" si="16"/>
        <v>856.16700000000003</v>
      </c>
      <c r="S31" s="28">
        <f t="shared" si="17"/>
        <v>9890.2049999999999</v>
      </c>
    </row>
    <row r="32" spans="1:26" x14ac:dyDescent="0.25">
      <c r="A32" s="88" t="s">
        <v>615</v>
      </c>
      <c r="B32" s="70" t="s">
        <v>569</v>
      </c>
      <c r="C32" s="70" t="s">
        <v>609</v>
      </c>
      <c r="D32" s="70" t="s">
        <v>616</v>
      </c>
      <c r="E32" s="70" t="s">
        <v>523</v>
      </c>
      <c r="F32" s="75">
        <v>38383</v>
      </c>
      <c r="G32" s="70" t="s">
        <v>797</v>
      </c>
      <c r="H32" s="72">
        <v>27.95</v>
      </c>
      <c r="I32" s="70">
        <v>40</v>
      </c>
      <c r="J32" s="72">
        <f t="shared" si="10"/>
        <v>29068</v>
      </c>
      <c r="K32" s="72">
        <v>27.95</v>
      </c>
      <c r="L32" s="70">
        <v>35</v>
      </c>
      <c r="M32" s="72">
        <f t="shared" si="11"/>
        <v>25434.5</v>
      </c>
      <c r="N32" s="28">
        <f t="shared" si="12"/>
        <v>54502.5</v>
      </c>
      <c r="O32" s="28">
        <f t="shared" si="13"/>
        <v>1048.125</v>
      </c>
      <c r="P32" s="28">
        <f t="shared" si="14"/>
        <v>209.625</v>
      </c>
      <c r="Q32" s="28">
        <f t="shared" si="15"/>
        <v>3379.1550000000002</v>
      </c>
      <c r="R32" s="28">
        <f t="shared" si="16"/>
        <v>790.28625</v>
      </c>
      <c r="S32" s="28">
        <f t="shared" si="17"/>
        <v>9129.1687500000007</v>
      </c>
    </row>
    <row r="33" spans="1:19" x14ac:dyDescent="0.25">
      <c r="A33" s="88" t="s">
        <v>568</v>
      </c>
      <c r="B33" s="74" t="s">
        <v>569</v>
      </c>
      <c r="C33" s="70" t="s">
        <v>609</v>
      </c>
      <c r="D33" s="74" t="s">
        <v>570</v>
      </c>
      <c r="E33" s="74" t="s">
        <v>523</v>
      </c>
      <c r="F33" s="75">
        <v>42464</v>
      </c>
      <c r="G33" s="70" t="s">
        <v>810</v>
      </c>
      <c r="H33" s="72">
        <v>26.54</v>
      </c>
      <c r="I33" s="70">
        <v>40</v>
      </c>
      <c r="J33" s="72">
        <f t="shared" si="10"/>
        <v>27601.599999999999</v>
      </c>
      <c r="K33" s="72">
        <v>26.54</v>
      </c>
      <c r="L33" s="70">
        <v>35</v>
      </c>
      <c r="M33" s="72">
        <f t="shared" si="11"/>
        <v>24151.399999999998</v>
      </c>
      <c r="N33" s="28">
        <f t="shared" si="12"/>
        <v>51753</v>
      </c>
      <c r="O33" s="28">
        <f t="shared" si="13"/>
        <v>995.25</v>
      </c>
      <c r="P33" s="28">
        <f t="shared" si="14"/>
        <v>199.05</v>
      </c>
      <c r="Q33" s="28">
        <f t="shared" si="15"/>
        <v>3208.6860000000001</v>
      </c>
      <c r="R33" s="28">
        <f t="shared" si="16"/>
        <v>750.41849999999999</v>
      </c>
      <c r="S33" s="28">
        <f t="shared" si="17"/>
        <v>8668.6275000000005</v>
      </c>
    </row>
    <row r="34" spans="1:19" x14ac:dyDescent="0.25">
      <c r="A34" s="88" t="s">
        <v>744</v>
      </c>
      <c r="B34" s="70" t="s">
        <v>745</v>
      </c>
      <c r="C34" s="70" t="s">
        <v>609</v>
      </c>
      <c r="D34" s="70" t="s">
        <v>791</v>
      </c>
      <c r="E34" s="74" t="s">
        <v>523</v>
      </c>
      <c r="F34" s="71">
        <v>40179</v>
      </c>
      <c r="G34" s="70" t="s">
        <v>792</v>
      </c>
      <c r="H34" s="72">
        <v>27.96</v>
      </c>
      <c r="I34" s="70">
        <v>40</v>
      </c>
      <c r="J34" s="72">
        <f t="shared" si="10"/>
        <v>29078.400000000001</v>
      </c>
      <c r="K34" s="72">
        <v>27.96</v>
      </c>
      <c r="L34" s="70">
        <v>40</v>
      </c>
      <c r="M34" s="72">
        <f t="shared" si="11"/>
        <v>29078.400000000001</v>
      </c>
      <c r="N34" s="28">
        <f t="shared" si="12"/>
        <v>58156.800000000003</v>
      </c>
      <c r="O34" s="28">
        <f t="shared" si="13"/>
        <v>1118.4000000000001</v>
      </c>
      <c r="P34" s="28">
        <f t="shared" si="14"/>
        <v>223.68</v>
      </c>
      <c r="Q34" s="28">
        <f t="shared" si="15"/>
        <v>3605.7216000000003</v>
      </c>
      <c r="R34" s="28">
        <f t="shared" si="16"/>
        <v>843.2736000000001</v>
      </c>
      <c r="S34" s="28">
        <f t="shared" si="17"/>
        <v>9741.264000000001</v>
      </c>
    </row>
    <row r="35" spans="1:19" x14ac:dyDescent="0.25">
      <c r="A35" s="88" t="s">
        <v>746</v>
      </c>
      <c r="B35" s="70" t="s">
        <v>545</v>
      </c>
      <c r="C35" s="70" t="s">
        <v>609</v>
      </c>
      <c r="D35" s="70" t="s">
        <v>801</v>
      </c>
      <c r="E35" s="74" t="s">
        <v>523</v>
      </c>
      <c r="F35" s="71">
        <v>37578</v>
      </c>
      <c r="G35" s="70" t="s">
        <v>800</v>
      </c>
      <c r="H35" s="72">
        <v>30.28</v>
      </c>
      <c r="I35" s="70">
        <v>40</v>
      </c>
      <c r="J35" s="72">
        <f t="shared" si="10"/>
        <v>31491.200000000001</v>
      </c>
      <c r="K35" s="72">
        <v>30.28</v>
      </c>
      <c r="L35" s="70">
        <v>35</v>
      </c>
      <c r="M35" s="72">
        <f t="shared" si="11"/>
        <v>27554.799999999999</v>
      </c>
      <c r="N35" s="28">
        <f t="shared" si="12"/>
        <v>59046</v>
      </c>
      <c r="O35" s="28">
        <f t="shared" si="13"/>
        <v>1135.5</v>
      </c>
      <c r="P35" s="28">
        <f t="shared" si="14"/>
        <v>227.1</v>
      </c>
      <c r="Q35" s="28">
        <f t="shared" si="15"/>
        <v>3660.8519999999999</v>
      </c>
      <c r="R35" s="28">
        <f t="shared" si="16"/>
        <v>856.16700000000003</v>
      </c>
      <c r="S35" s="28">
        <f t="shared" si="17"/>
        <v>9890.2049999999999</v>
      </c>
    </row>
    <row r="36" spans="1:19" x14ac:dyDescent="0.25">
      <c r="A36" s="88" t="s">
        <v>747</v>
      </c>
      <c r="B36" s="70" t="s">
        <v>748</v>
      </c>
      <c r="C36" s="70" t="s">
        <v>609</v>
      </c>
      <c r="D36" s="70" t="s">
        <v>798</v>
      </c>
      <c r="E36" s="74" t="s">
        <v>523</v>
      </c>
      <c r="F36" s="71">
        <v>32671</v>
      </c>
      <c r="G36" s="70" t="s">
        <v>799</v>
      </c>
      <c r="H36" s="72">
        <v>37.01</v>
      </c>
      <c r="I36" s="70">
        <v>40</v>
      </c>
      <c r="J36" s="72">
        <f t="shared" si="10"/>
        <v>38490.399999999994</v>
      </c>
      <c r="K36" s="72">
        <v>37.01</v>
      </c>
      <c r="L36" s="70">
        <v>40</v>
      </c>
      <c r="M36" s="72">
        <f t="shared" si="11"/>
        <v>38490.399999999994</v>
      </c>
      <c r="N36" s="28">
        <f t="shared" si="12"/>
        <v>76980.799999999988</v>
      </c>
      <c r="O36" s="28">
        <f t="shared" si="13"/>
        <v>1480.3999999999999</v>
      </c>
      <c r="P36" s="28">
        <f t="shared" si="14"/>
        <v>296.08</v>
      </c>
      <c r="Q36" s="28">
        <f t="shared" si="15"/>
        <v>4772.8095999999996</v>
      </c>
      <c r="R36" s="28">
        <f t="shared" si="16"/>
        <v>1116.2215999999999</v>
      </c>
      <c r="S36" s="28">
        <f t="shared" si="17"/>
        <v>12894.284</v>
      </c>
    </row>
    <row r="37" spans="1:19" x14ac:dyDescent="0.25">
      <c r="A37" s="88" t="s">
        <v>749</v>
      </c>
      <c r="B37" s="70" t="s">
        <v>680</v>
      </c>
      <c r="C37" s="70" t="s">
        <v>609</v>
      </c>
      <c r="D37" s="70" t="s">
        <v>795</v>
      </c>
      <c r="E37" s="74" t="s">
        <v>523</v>
      </c>
      <c r="F37" s="71">
        <v>42513</v>
      </c>
      <c r="G37" s="70" t="s">
        <v>804</v>
      </c>
      <c r="H37" s="72">
        <v>29.52</v>
      </c>
      <c r="I37" s="70">
        <v>40</v>
      </c>
      <c r="J37" s="72">
        <f t="shared" si="10"/>
        <v>30700.799999999999</v>
      </c>
      <c r="K37" s="72">
        <v>29.52</v>
      </c>
      <c r="L37" s="70">
        <v>40</v>
      </c>
      <c r="M37" s="72">
        <f t="shared" si="11"/>
        <v>30700.799999999999</v>
      </c>
      <c r="N37" s="28">
        <f t="shared" si="12"/>
        <v>61401.599999999999</v>
      </c>
      <c r="O37" s="28">
        <f t="shared" si="13"/>
        <v>1180.8</v>
      </c>
      <c r="P37" s="28">
        <f t="shared" si="14"/>
        <v>236.16</v>
      </c>
      <c r="Q37" s="28">
        <f t="shared" si="15"/>
        <v>3806.8991999999998</v>
      </c>
      <c r="R37" s="28">
        <f t="shared" si="16"/>
        <v>890.32320000000004</v>
      </c>
      <c r="S37" s="28">
        <f t="shared" si="17"/>
        <v>10284.768</v>
      </c>
    </row>
    <row r="38" spans="1:19" x14ac:dyDescent="0.25">
      <c r="A38" s="88" t="s">
        <v>750</v>
      </c>
      <c r="B38" s="70" t="s">
        <v>751</v>
      </c>
      <c r="C38" s="70" t="s">
        <v>609</v>
      </c>
      <c r="D38" s="70" t="s">
        <v>791</v>
      </c>
      <c r="E38" s="74" t="s">
        <v>523</v>
      </c>
      <c r="F38" s="71">
        <v>42863</v>
      </c>
      <c r="G38" s="70" t="s">
        <v>792</v>
      </c>
      <c r="H38" s="72">
        <v>27.96</v>
      </c>
      <c r="I38" s="70">
        <v>40</v>
      </c>
      <c r="J38" s="72">
        <f t="shared" si="10"/>
        <v>29078.400000000001</v>
      </c>
      <c r="K38" s="72">
        <v>27.96</v>
      </c>
      <c r="L38" s="70">
        <v>40</v>
      </c>
      <c r="M38" s="72">
        <f t="shared" si="11"/>
        <v>29078.400000000001</v>
      </c>
      <c r="N38" s="28">
        <f t="shared" si="12"/>
        <v>58156.800000000003</v>
      </c>
      <c r="O38" s="28">
        <f t="shared" si="13"/>
        <v>1118.4000000000001</v>
      </c>
      <c r="P38" s="28">
        <f t="shared" si="14"/>
        <v>223.68</v>
      </c>
      <c r="Q38" s="28">
        <f t="shared" si="15"/>
        <v>3605.7216000000003</v>
      </c>
      <c r="R38" s="28">
        <f t="shared" si="16"/>
        <v>843.2736000000001</v>
      </c>
      <c r="S38" s="28">
        <f t="shared" si="17"/>
        <v>9741.264000000001</v>
      </c>
    </row>
    <row r="39" spans="1:19" x14ac:dyDescent="0.25">
      <c r="A39" s="88" t="s">
        <v>752</v>
      </c>
      <c r="B39" s="70" t="s">
        <v>753</v>
      </c>
      <c r="C39" s="70" t="s">
        <v>609</v>
      </c>
      <c r="D39" s="70" t="s">
        <v>794</v>
      </c>
      <c r="E39" s="74" t="s">
        <v>523</v>
      </c>
      <c r="F39" s="71">
        <v>38754</v>
      </c>
      <c r="G39" s="70" t="s">
        <v>793</v>
      </c>
      <c r="H39" s="72">
        <v>30.22</v>
      </c>
      <c r="I39" s="70">
        <v>40</v>
      </c>
      <c r="J39" s="72">
        <f t="shared" si="10"/>
        <v>31428.799999999999</v>
      </c>
      <c r="K39" s="72">
        <v>30.22</v>
      </c>
      <c r="L39" s="70">
        <v>40</v>
      </c>
      <c r="M39" s="72">
        <f t="shared" si="11"/>
        <v>31428.799999999999</v>
      </c>
      <c r="N39" s="28">
        <f t="shared" si="12"/>
        <v>62857.599999999999</v>
      </c>
      <c r="O39" s="28">
        <f t="shared" si="13"/>
        <v>1208.8</v>
      </c>
      <c r="P39" s="28">
        <f t="shared" si="14"/>
        <v>241.76</v>
      </c>
      <c r="Q39" s="28">
        <f t="shared" si="15"/>
        <v>3897.1711999999998</v>
      </c>
      <c r="R39" s="28">
        <f t="shared" si="16"/>
        <v>911.43520000000001</v>
      </c>
      <c r="S39" s="28">
        <f t="shared" si="17"/>
        <v>10528.648000000001</v>
      </c>
    </row>
    <row r="40" spans="1:19" x14ac:dyDescent="0.25">
      <c r="A40" s="88" t="s">
        <v>754</v>
      </c>
      <c r="B40" s="70" t="s">
        <v>697</v>
      </c>
      <c r="C40" s="70" t="s">
        <v>609</v>
      </c>
      <c r="D40" s="70" t="s">
        <v>791</v>
      </c>
      <c r="E40" s="74" t="s">
        <v>523</v>
      </c>
      <c r="F40" s="71">
        <v>35059</v>
      </c>
      <c r="G40" s="70" t="s">
        <v>792</v>
      </c>
      <c r="H40" s="72">
        <v>27.96</v>
      </c>
      <c r="I40" s="70">
        <v>40</v>
      </c>
      <c r="J40" s="72">
        <f t="shared" si="10"/>
        <v>29078.400000000001</v>
      </c>
      <c r="K40" s="72">
        <v>27.96</v>
      </c>
      <c r="L40" s="70">
        <v>40</v>
      </c>
      <c r="M40" s="72">
        <f t="shared" si="11"/>
        <v>29078.400000000001</v>
      </c>
      <c r="N40" s="28">
        <f t="shared" si="12"/>
        <v>58156.800000000003</v>
      </c>
      <c r="O40" s="28">
        <f t="shared" si="13"/>
        <v>1118.4000000000001</v>
      </c>
      <c r="P40" s="28">
        <f t="shared" si="14"/>
        <v>223.68</v>
      </c>
      <c r="Q40" s="28">
        <f t="shared" si="15"/>
        <v>3605.7216000000003</v>
      </c>
      <c r="R40" s="28">
        <f t="shared" si="16"/>
        <v>843.2736000000001</v>
      </c>
      <c r="S40" s="28">
        <f t="shared" si="17"/>
        <v>9741.264000000001</v>
      </c>
    </row>
    <row r="41" spans="1:19" x14ac:dyDescent="0.25">
      <c r="A41" s="88" t="s">
        <v>755</v>
      </c>
      <c r="B41" s="70" t="s">
        <v>756</v>
      </c>
      <c r="C41" s="70" t="s">
        <v>609</v>
      </c>
      <c r="D41" s="70" t="s">
        <v>620</v>
      </c>
      <c r="E41" s="74" t="s">
        <v>523</v>
      </c>
      <c r="F41" s="71">
        <v>40596</v>
      </c>
      <c r="G41" s="70" t="s">
        <v>790</v>
      </c>
      <c r="H41" s="72">
        <v>35.33</v>
      </c>
      <c r="I41" s="70">
        <v>40</v>
      </c>
      <c r="J41" s="72">
        <f t="shared" si="10"/>
        <v>36743.199999999997</v>
      </c>
      <c r="K41" s="72">
        <v>35.33</v>
      </c>
      <c r="L41" s="70">
        <v>40</v>
      </c>
      <c r="M41" s="72">
        <f t="shared" si="11"/>
        <v>36743.199999999997</v>
      </c>
      <c r="N41" s="28">
        <f t="shared" si="12"/>
        <v>73486.399999999994</v>
      </c>
      <c r="O41" s="28">
        <f t="shared" si="13"/>
        <v>1413.1999999999998</v>
      </c>
      <c r="P41" s="28">
        <f t="shared" si="14"/>
        <v>282.64</v>
      </c>
      <c r="Q41" s="28">
        <f t="shared" si="15"/>
        <v>4556.1567999999997</v>
      </c>
      <c r="R41" s="28">
        <f t="shared" si="16"/>
        <v>1065.5527999999999</v>
      </c>
      <c r="S41" s="28">
        <f t="shared" si="17"/>
        <v>12308.972</v>
      </c>
    </row>
    <row r="42" spans="1:19" x14ac:dyDescent="0.25">
      <c r="A42" s="88" t="s">
        <v>617</v>
      </c>
      <c r="B42" s="70" t="s">
        <v>618</v>
      </c>
      <c r="C42" s="70" t="s">
        <v>609</v>
      </c>
      <c r="D42" s="70" t="s">
        <v>619</v>
      </c>
      <c r="E42" s="70" t="s">
        <v>523</v>
      </c>
      <c r="F42" s="71">
        <v>41827</v>
      </c>
      <c r="G42" s="70"/>
      <c r="H42" s="72">
        <v>27.95</v>
      </c>
      <c r="I42" s="70">
        <v>40</v>
      </c>
      <c r="J42" s="72">
        <f t="shared" si="10"/>
        <v>29068</v>
      </c>
      <c r="K42" s="72">
        <v>27.95</v>
      </c>
      <c r="L42" s="70">
        <v>35</v>
      </c>
      <c r="M42" s="72">
        <f t="shared" si="11"/>
        <v>25434.5</v>
      </c>
      <c r="N42" s="28">
        <f t="shared" si="12"/>
        <v>54502.5</v>
      </c>
      <c r="O42" s="28">
        <f t="shared" si="13"/>
        <v>1048.125</v>
      </c>
      <c r="P42" s="28">
        <f t="shared" si="14"/>
        <v>209.625</v>
      </c>
      <c r="Q42" s="28">
        <f t="shared" si="15"/>
        <v>3379.1550000000002</v>
      </c>
      <c r="R42" s="28">
        <f t="shared" si="16"/>
        <v>790.28625</v>
      </c>
      <c r="S42" s="28">
        <f t="shared" si="17"/>
        <v>9129.1687500000007</v>
      </c>
    </row>
    <row r="43" spans="1:19" x14ac:dyDescent="0.25">
      <c r="A43" s="88" t="s">
        <v>621</v>
      </c>
      <c r="B43" s="70" t="s">
        <v>622</v>
      </c>
      <c r="C43" s="70" t="s">
        <v>609</v>
      </c>
      <c r="D43" s="70" t="s">
        <v>555</v>
      </c>
      <c r="E43" s="74" t="s">
        <v>523</v>
      </c>
      <c r="F43" s="75">
        <v>41827</v>
      </c>
      <c r="G43" s="70" t="s">
        <v>789</v>
      </c>
      <c r="H43" s="72">
        <v>27.95</v>
      </c>
      <c r="I43" s="70">
        <v>40</v>
      </c>
      <c r="J43" s="72">
        <f t="shared" si="10"/>
        <v>29068</v>
      </c>
      <c r="K43" s="72">
        <v>27.95</v>
      </c>
      <c r="L43" s="70">
        <v>40</v>
      </c>
      <c r="M43" s="72">
        <f t="shared" si="11"/>
        <v>29068</v>
      </c>
      <c r="N43" s="28">
        <f t="shared" si="12"/>
        <v>58136</v>
      </c>
      <c r="O43" s="28">
        <f t="shared" si="13"/>
        <v>1118</v>
      </c>
      <c r="P43" s="28">
        <f t="shared" si="14"/>
        <v>223.6</v>
      </c>
      <c r="Q43" s="28">
        <f t="shared" si="15"/>
        <v>3604.4319999999998</v>
      </c>
      <c r="R43" s="28">
        <f t="shared" si="16"/>
        <v>842.97200000000009</v>
      </c>
      <c r="S43" s="28">
        <f t="shared" si="17"/>
        <v>9737.7800000000007</v>
      </c>
    </row>
    <row r="45" spans="1:19" x14ac:dyDescent="0.25">
      <c r="N45" s="27">
        <f>SUM(N23:N44)</f>
        <v>1260370.8</v>
      </c>
      <c r="Q45" s="27">
        <f t="shared" ref="Q45:S45" si="18">SUM(Q23:Q44)</f>
        <v>78142.989599999986</v>
      </c>
      <c r="R45" s="27">
        <f t="shared" si="18"/>
        <v>18275.376600000003</v>
      </c>
      <c r="S45" s="27">
        <f t="shared" si="18"/>
        <v>211112.109</v>
      </c>
    </row>
    <row r="46" spans="1:19" x14ac:dyDescent="0.25">
      <c r="M46" t="s">
        <v>819</v>
      </c>
      <c r="N46" s="27">
        <v>150000</v>
      </c>
      <c r="Q46" s="27">
        <f>+(N46*0.062)</f>
        <v>9300</v>
      </c>
      <c r="R46" s="27">
        <f>+(N46*0.0145)</f>
        <v>2175</v>
      </c>
      <c r="S46" s="27">
        <f>+(N46*0.1495)</f>
        <v>22425</v>
      </c>
    </row>
    <row r="47" spans="1:19" x14ac:dyDescent="0.25">
      <c r="N47" s="27">
        <f>SUM(N45:N46)</f>
        <v>1410370.8</v>
      </c>
      <c r="Q47" s="27">
        <f t="shared" ref="Q47:S47" si="19">SUM(Q45:Q46)</f>
        <v>87442.989599999986</v>
      </c>
      <c r="R47" s="27">
        <f t="shared" si="19"/>
        <v>20450.376600000003</v>
      </c>
      <c r="S47" s="27">
        <f t="shared" si="19"/>
        <v>233537.109</v>
      </c>
    </row>
    <row r="49" spans="11:27" x14ac:dyDescent="0.25">
      <c r="L49" t="s">
        <v>1420</v>
      </c>
      <c r="M49" s="99">
        <v>2.5000000000000001E-2</v>
      </c>
      <c r="N49" s="27">
        <f>+(N47*M49)</f>
        <v>35259.270000000004</v>
      </c>
      <c r="Q49" s="27">
        <f>+(Q47*M49)</f>
        <v>2186.0747399999996</v>
      </c>
      <c r="R49" s="27">
        <f>+(R47*M49)</f>
        <v>511.2594150000001</v>
      </c>
      <c r="S49" s="27">
        <f>+(S47*M49)</f>
        <v>5838.4277250000005</v>
      </c>
      <c r="Z49" s="27">
        <f>SUM(N49:S49)</f>
        <v>43795.031880000002</v>
      </c>
      <c r="AA49" s="27">
        <f>+(Z49*2)</f>
        <v>87590.063760000005</v>
      </c>
    </row>
    <row r="51" spans="11:27" x14ac:dyDescent="0.25">
      <c r="AA51" s="27">
        <f>+(AA49+AA16)</f>
        <v>126554.69396</v>
      </c>
    </row>
    <row r="55" spans="11:27" ht="48.75" customHeight="1" x14ac:dyDescent="0.25">
      <c r="M55" s="83" t="s">
        <v>502</v>
      </c>
      <c r="N55" s="3" t="s">
        <v>500</v>
      </c>
      <c r="O55" s="3" t="s">
        <v>501</v>
      </c>
      <c r="P55" s="83" t="s">
        <v>811</v>
      </c>
      <c r="Q55" s="83" t="s">
        <v>812</v>
      </c>
      <c r="R55" s="83" t="s">
        <v>1349</v>
      </c>
      <c r="S55" s="27" t="s">
        <v>19</v>
      </c>
    </row>
    <row r="56" spans="11:27" x14ac:dyDescent="0.25">
      <c r="K56" s="99">
        <v>2.5000000000000001E-2</v>
      </c>
      <c r="L56" t="s">
        <v>1421</v>
      </c>
      <c r="M56" s="27">
        <f t="shared" ref="M56:R56" si="20">N47</f>
        <v>1410370.8</v>
      </c>
      <c r="N56" s="27">
        <f t="shared" si="20"/>
        <v>0</v>
      </c>
      <c r="O56" s="27">
        <f t="shared" si="20"/>
        <v>0</v>
      </c>
      <c r="P56" s="27">
        <f t="shared" si="20"/>
        <v>87442.989599999986</v>
      </c>
      <c r="Q56" s="27">
        <f t="shared" si="20"/>
        <v>20450.376600000003</v>
      </c>
      <c r="R56" s="27">
        <f t="shared" si="20"/>
        <v>233537.109</v>
      </c>
      <c r="S56" s="27">
        <f>SUM(M56:R56)</f>
        <v>1751801.2752</v>
      </c>
      <c r="Y56" s="27"/>
    </row>
    <row r="57" spans="11:27" x14ac:dyDescent="0.25">
      <c r="K57">
        <v>1</v>
      </c>
      <c r="L57" t="s">
        <v>1420</v>
      </c>
      <c r="M57" s="27">
        <f>+(M56*1.025)</f>
        <v>1445630.0699999998</v>
      </c>
      <c r="O57" s="27"/>
      <c r="P57" s="27">
        <f t="shared" ref="P57:R57" si="21">+(P56*1.025)</f>
        <v>89629.064339999983</v>
      </c>
      <c r="Q57" s="27">
        <f t="shared" si="21"/>
        <v>20961.636015</v>
      </c>
      <c r="R57" s="27">
        <f t="shared" si="21"/>
        <v>239375.53672499998</v>
      </c>
      <c r="S57" s="27">
        <f>SUM(M57:R57)</f>
        <v>1795596.3070799999</v>
      </c>
      <c r="Y57" s="27">
        <f>+(S57-S56)</f>
        <v>43795.031879999908</v>
      </c>
    </row>
    <row r="58" spans="11:27" x14ac:dyDescent="0.25">
      <c r="K58">
        <v>2</v>
      </c>
      <c r="L58" t="s">
        <v>1422</v>
      </c>
      <c r="M58" s="27">
        <f t="shared" ref="M58:M61" si="22">+(M57*1.025)</f>
        <v>1481770.8217499997</v>
      </c>
      <c r="O58" s="27"/>
      <c r="P58" s="27">
        <f t="shared" ref="P58:P61" si="23">+(P57*1.025)</f>
        <v>91869.790948499969</v>
      </c>
      <c r="Q58" s="27">
        <f t="shared" ref="Q58:Q61" si="24">+(Q57*1.025)</f>
        <v>21485.676915374999</v>
      </c>
      <c r="R58" s="27">
        <f t="shared" ref="R58:R61" si="25">+(R57*1.025)</f>
        <v>245359.92514312497</v>
      </c>
      <c r="S58" s="27">
        <f t="shared" ref="S58:S61" si="26">SUM(M58:R58)</f>
        <v>1840486.2147569996</v>
      </c>
      <c r="Y58" s="27">
        <f t="shared" ref="Y58:Y61" si="27">+(S58-S57)</f>
        <v>44889.90767699969</v>
      </c>
    </row>
    <row r="59" spans="11:27" x14ac:dyDescent="0.25">
      <c r="K59">
        <v>3</v>
      </c>
      <c r="L59" t="s">
        <v>1423</v>
      </c>
      <c r="M59" s="27">
        <f t="shared" si="22"/>
        <v>1518815.0922937496</v>
      </c>
      <c r="O59" s="27"/>
      <c r="P59" s="27">
        <f t="shared" si="23"/>
        <v>94166.535722212458</v>
      </c>
      <c r="Q59" s="27">
        <f t="shared" si="24"/>
        <v>22022.818838259373</v>
      </c>
      <c r="R59" s="27">
        <f t="shared" si="25"/>
        <v>251493.92327170307</v>
      </c>
      <c r="S59" s="27">
        <f t="shared" si="26"/>
        <v>1886498.3701259245</v>
      </c>
      <c r="Y59" s="27">
        <f t="shared" si="27"/>
        <v>46012.155368924839</v>
      </c>
    </row>
    <row r="60" spans="11:27" x14ac:dyDescent="0.25">
      <c r="K60">
        <v>4</v>
      </c>
      <c r="L60" t="s">
        <v>1424</v>
      </c>
      <c r="M60" s="27">
        <f t="shared" si="22"/>
        <v>1556785.4696010931</v>
      </c>
      <c r="O60" s="27"/>
      <c r="P60" s="27">
        <f t="shared" si="23"/>
        <v>96520.699115267766</v>
      </c>
      <c r="Q60" s="27">
        <f t="shared" si="24"/>
        <v>22573.389309215854</v>
      </c>
      <c r="R60" s="27">
        <f t="shared" si="25"/>
        <v>257781.27135349563</v>
      </c>
      <c r="S60" s="27">
        <f t="shared" si="26"/>
        <v>1933660.8293790722</v>
      </c>
      <c r="Y60" s="27">
        <f t="shared" si="27"/>
        <v>47162.45925314771</v>
      </c>
    </row>
    <row r="61" spans="11:27" x14ac:dyDescent="0.25">
      <c r="K61">
        <v>5</v>
      </c>
      <c r="L61" t="s">
        <v>1425</v>
      </c>
      <c r="M61" s="27">
        <f t="shared" si="22"/>
        <v>1595705.1063411203</v>
      </c>
      <c r="O61" s="27"/>
      <c r="P61" s="27">
        <f t="shared" si="23"/>
        <v>98933.716593149453</v>
      </c>
      <c r="Q61" s="27">
        <f t="shared" si="24"/>
        <v>23137.724041946247</v>
      </c>
      <c r="R61" s="27">
        <f t="shared" si="25"/>
        <v>264225.80313733302</v>
      </c>
      <c r="S61" s="27">
        <f t="shared" si="26"/>
        <v>1982002.3501135488</v>
      </c>
      <c r="Y61" s="27">
        <f t="shared" si="27"/>
        <v>48341.520734476624</v>
      </c>
    </row>
    <row r="62" spans="11:27" x14ac:dyDescent="0.25">
      <c r="M62" s="27"/>
      <c r="O62" s="27"/>
      <c r="P62" s="27"/>
      <c r="Y62" s="177">
        <f>SUM(Y57:Y61)</f>
        <v>230201.07491354877</v>
      </c>
    </row>
    <row r="63" spans="11:27" x14ac:dyDescent="0.25">
      <c r="M63" s="27"/>
      <c r="O63" s="27"/>
      <c r="P63" s="27"/>
    </row>
    <row r="64" spans="11:27" x14ac:dyDescent="0.25">
      <c r="K64" s="99">
        <v>2.2499999999999999E-2</v>
      </c>
      <c r="L64" t="s">
        <v>1421</v>
      </c>
      <c r="M64" s="27">
        <v>1410370.8</v>
      </c>
      <c r="N64" s="27">
        <v>0</v>
      </c>
      <c r="O64" s="27">
        <v>0</v>
      </c>
      <c r="P64" s="27">
        <v>87442.989599999986</v>
      </c>
      <c r="Q64" s="27">
        <v>20450.376600000003</v>
      </c>
      <c r="R64" s="27">
        <v>233537.109</v>
      </c>
      <c r="S64" s="27">
        <f>SUM(M64:R64)</f>
        <v>1751801.2752</v>
      </c>
      <c r="Y64" s="27"/>
    </row>
    <row r="65" spans="1:25" x14ac:dyDescent="0.25">
      <c r="K65">
        <v>1</v>
      </c>
      <c r="L65" t="s">
        <v>1420</v>
      </c>
      <c r="M65" s="27">
        <f>+(M64*1.0225)</f>
        <v>1442104.1429999999</v>
      </c>
      <c r="O65" s="27"/>
      <c r="P65" s="27">
        <f t="shared" ref="P65:R65" si="28">+(P64*1.0225)</f>
        <v>89410.456865999979</v>
      </c>
      <c r="Q65" s="27">
        <f t="shared" si="28"/>
        <v>20910.510073500001</v>
      </c>
      <c r="R65" s="27">
        <f t="shared" si="28"/>
        <v>238791.69395249998</v>
      </c>
      <c r="S65" s="27">
        <f t="shared" ref="S65:S69" si="29">SUM(M65:R65)</f>
        <v>1791216.8038919999</v>
      </c>
      <c r="Y65" s="27">
        <f>+(S65-S64)</f>
        <v>39415.528691999847</v>
      </c>
    </row>
    <row r="66" spans="1:25" x14ac:dyDescent="0.25">
      <c r="K66">
        <v>2</v>
      </c>
      <c r="L66" t="s">
        <v>1422</v>
      </c>
      <c r="M66" s="27">
        <f t="shared" ref="M66:M69" si="30">+(M65*1.0225)</f>
        <v>1474551.4862174999</v>
      </c>
      <c r="O66" s="27"/>
      <c r="P66" s="27">
        <f t="shared" ref="P66:P69" si="31">+(P65*1.0225)</f>
        <v>91422.19214548498</v>
      </c>
      <c r="Q66" s="27">
        <f t="shared" ref="Q66:Q69" si="32">+(Q65*1.0225)</f>
        <v>21380.996550153752</v>
      </c>
      <c r="R66" s="27">
        <f t="shared" ref="R66:R69" si="33">+(R65*1.0225)</f>
        <v>244164.50706643122</v>
      </c>
      <c r="S66" s="27">
        <f t="shared" si="29"/>
        <v>1831519.1819795698</v>
      </c>
      <c r="Y66" s="27">
        <f t="shared" ref="Y66:Y69" si="34">+(S66-S65)</f>
        <v>40302.378087569959</v>
      </c>
    </row>
    <row r="67" spans="1:25" x14ac:dyDescent="0.25">
      <c r="K67">
        <v>3</v>
      </c>
      <c r="L67" t="s">
        <v>1423</v>
      </c>
      <c r="M67" s="27">
        <f t="shared" si="30"/>
        <v>1507728.8946573937</v>
      </c>
      <c r="O67" s="27"/>
      <c r="P67" s="27">
        <f t="shared" si="31"/>
        <v>93479.191468758392</v>
      </c>
      <c r="Q67" s="27">
        <f t="shared" si="32"/>
        <v>21862.068972532212</v>
      </c>
      <c r="R67" s="27">
        <f t="shared" si="33"/>
        <v>249658.20847542593</v>
      </c>
      <c r="S67" s="27">
        <f t="shared" si="29"/>
        <v>1872728.36357411</v>
      </c>
      <c r="Y67" s="27">
        <f t="shared" si="34"/>
        <v>41209.181594540132</v>
      </c>
    </row>
    <row r="68" spans="1:25" x14ac:dyDescent="0.25">
      <c r="K68">
        <v>4</v>
      </c>
      <c r="L68" t="s">
        <v>1424</v>
      </c>
      <c r="M68" s="27">
        <f t="shared" si="30"/>
        <v>1541652.794787185</v>
      </c>
      <c r="O68" s="27"/>
      <c r="P68" s="27">
        <f t="shared" si="31"/>
        <v>95582.473276805453</v>
      </c>
      <c r="Q68" s="27">
        <f t="shared" si="32"/>
        <v>22353.965524414187</v>
      </c>
      <c r="R68" s="27">
        <f t="shared" si="33"/>
        <v>255275.51816612299</v>
      </c>
      <c r="S68" s="27">
        <f t="shared" si="29"/>
        <v>1914864.7517545274</v>
      </c>
      <c r="Y68" s="27">
        <f t="shared" si="34"/>
        <v>42136.388180417474</v>
      </c>
    </row>
    <row r="69" spans="1:25" x14ac:dyDescent="0.25">
      <c r="K69">
        <v>5</v>
      </c>
      <c r="L69" t="s">
        <v>1425</v>
      </c>
      <c r="M69" s="27">
        <f t="shared" si="30"/>
        <v>1576339.9826698967</v>
      </c>
      <c r="O69" s="27"/>
      <c r="P69" s="27">
        <f t="shared" si="31"/>
        <v>97733.078925533569</v>
      </c>
      <c r="Q69" s="27">
        <f t="shared" si="32"/>
        <v>22856.929748713505</v>
      </c>
      <c r="R69" s="27">
        <f t="shared" si="33"/>
        <v>261019.21732486074</v>
      </c>
      <c r="S69" s="27">
        <f t="shared" si="29"/>
        <v>1957949.2086690045</v>
      </c>
      <c r="Y69" s="27">
        <f t="shared" si="34"/>
        <v>43084.45691447705</v>
      </c>
    </row>
    <row r="70" spans="1:25" x14ac:dyDescent="0.25">
      <c r="M70" s="27"/>
      <c r="O70" s="27"/>
      <c r="P70" s="27"/>
      <c r="Y70" s="27">
        <f>SUM(Y65:Y69)</f>
        <v>206147.93346900446</v>
      </c>
    </row>
    <row r="73" spans="1:25" x14ac:dyDescent="0.25">
      <c r="A73" s="70" t="s">
        <v>607</v>
      </c>
      <c r="B73" s="70" t="s">
        <v>608</v>
      </c>
      <c r="C73" s="70" t="s">
        <v>609</v>
      </c>
      <c r="D73" s="70" t="s">
        <v>589</v>
      </c>
      <c r="E73" s="79" t="s">
        <v>722</v>
      </c>
      <c r="F73" s="71">
        <v>42009</v>
      </c>
      <c r="G73" s="79"/>
      <c r="H73" s="81"/>
      <c r="I73" s="79"/>
      <c r="J73" s="81"/>
      <c r="K73" s="81"/>
      <c r="L73" s="79"/>
      <c r="M73" s="81"/>
      <c r="N73" s="100">
        <v>93000</v>
      </c>
      <c r="O73" s="28">
        <f>+(N73/52)</f>
        <v>1788.4615384615386</v>
      </c>
      <c r="P73" s="28">
        <f>+(O73/5)</f>
        <v>357.69230769230774</v>
      </c>
      <c r="Q73" s="28">
        <f>+(N73*0.062)</f>
        <v>5766</v>
      </c>
      <c r="R73" s="28">
        <f>+(N73*0.0145)</f>
        <v>1348.5</v>
      </c>
      <c r="S73" s="28">
        <f>+(N73*0.1495)</f>
        <v>13903.5</v>
      </c>
    </row>
    <row r="74" spans="1:25" x14ac:dyDescent="0.25">
      <c r="A74" s="70" t="s">
        <v>613</v>
      </c>
      <c r="B74" s="70" t="s">
        <v>608</v>
      </c>
      <c r="C74" s="70" t="s">
        <v>609</v>
      </c>
      <c r="D74" s="70" t="s">
        <v>614</v>
      </c>
      <c r="E74" s="79" t="s">
        <v>722</v>
      </c>
      <c r="F74" s="71">
        <v>33547</v>
      </c>
      <c r="G74" s="79"/>
      <c r="H74" s="81"/>
      <c r="I74" s="79"/>
      <c r="J74" s="81"/>
      <c r="K74" s="81"/>
      <c r="L74" s="79"/>
      <c r="M74" s="81"/>
      <c r="N74" s="100">
        <v>85000</v>
      </c>
      <c r="O74" s="28">
        <f>+(N74/52)</f>
        <v>1634.6153846153845</v>
      </c>
      <c r="P74" s="28">
        <f>+(O74/5)</f>
        <v>326.92307692307691</v>
      </c>
      <c r="Q74" s="28">
        <f>+(N74*0.062)</f>
        <v>5270</v>
      </c>
      <c r="R74" s="28">
        <f>+(N74*0.0145)</f>
        <v>1232.5</v>
      </c>
      <c r="S74" s="28">
        <f>+(N74*0.1495)</f>
        <v>12707.5</v>
      </c>
    </row>
    <row r="75" spans="1:25" x14ac:dyDescent="0.25">
      <c r="A75" s="70" t="s">
        <v>610</v>
      </c>
      <c r="B75" s="70" t="s">
        <v>611</v>
      </c>
      <c r="C75" s="70" t="s">
        <v>609</v>
      </c>
      <c r="D75" s="70" t="s">
        <v>612</v>
      </c>
      <c r="E75" s="79" t="s">
        <v>722</v>
      </c>
      <c r="F75" s="71">
        <v>39279</v>
      </c>
      <c r="G75" s="79"/>
      <c r="H75" s="81"/>
      <c r="I75" s="79"/>
      <c r="J75" s="81"/>
      <c r="K75" s="81"/>
      <c r="L75" s="79"/>
      <c r="M75" s="81"/>
      <c r="N75" s="100">
        <v>85000</v>
      </c>
      <c r="O75" s="28">
        <f>+(N75/52)</f>
        <v>1634.6153846153845</v>
      </c>
      <c r="P75" s="28">
        <f>+(O75/5)</f>
        <v>326.92307692307691</v>
      </c>
      <c r="Q75" s="28">
        <f>+(N75*0.062)</f>
        <v>5270</v>
      </c>
      <c r="R75" s="28">
        <f>+(N75*0.0145)</f>
        <v>1232.5</v>
      </c>
      <c r="S75" s="28">
        <f>+(N75*0.1495)</f>
        <v>12707.5</v>
      </c>
    </row>
    <row r="77" spans="1:25" x14ac:dyDescent="0.25">
      <c r="N77" s="27">
        <f>+(N75+N74+N73+N45)</f>
        <v>1523370.8</v>
      </c>
    </row>
    <row r="82" spans="1:27" x14ac:dyDescent="0.25">
      <c r="A82" s="70" t="s">
        <v>531</v>
      </c>
      <c r="B82" s="70" t="s">
        <v>532</v>
      </c>
      <c r="C82" s="70" t="s">
        <v>84</v>
      </c>
      <c r="D82" s="70" t="s">
        <v>533</v>
      </c>
      <c r="E82" s="70" t="s">
        <v>523</v>
      </c>
      <c r="F82" s="71">
        <v>40343</v>
      </c>
      <c r="G82" s="70" t="s">
        <v>585</v>
      </c>
      <c r="H82" s="81"/>
      <c r="I82" s="79" t="s">
        <v>31</v>
      </c>
      <c r="J82" s="72">
        <f>+(67699/2)</f>
        <v>33849.5</v>
      </c>
      <c r="K82" s="81"/>
      <c r="L82" s="79"/>
      <c r="M82" s="72">
        <f>+(68545/2)</f>
        <v>34272.5</v>
      </c>
      <c r="N82" s="28">
        <f>+(J82+M82)</f>
        <v>68122</v>
      </c>
      <c r="O82" s="28">
        <f t="shared" ref="O82:O87" si="35">+(N82/52)</f>
        <v>1310.0384615384614</v>
      </c>
      <c r="P82" s="28">
        <f t="shared" ref="P82:P87" si="36">+(O82/5)</f>
        <v>262.00769230769231</v>
      </c>
      <c r="Q82" s="28">
        <f t="shared" ref="Q82:Q87" si="37">+(N82*0.062)</f>
        <v>4223.5640000000003</v>
      </c>
      <c r="R82" s="28">
        <f t="shared" ref="R82:R87" si="38">+(N82*0.0145)</f>
        <v>987.76900000000001</v>
      </c>
      <c r="S82" s="28">
        <f>+(N82*0.1495)</f>
        <v>10184.239</v>
      </c>
    </row>
    <row r="83" spans="1:27" x14ac:dyDescent="0.25">
      <c r="A83" s="70" t="s">
        <v>527</v>
      </c>
      <c r="B83" s="70" t="s">
        <v>528</v>
      </c>
      <c r="C83" s="70" t="s">
        <v>84</v>
      </c>
      <c r="D83" s="70" t="s">
        <v>529</v>
      </c>
      <c r="E83" s="70" t="s">
        <v>523</v>
      </c>
      <c r="F83" s="71">
        <v>40360</v>
      </c>
      <c r="G83" s="70" t="s">
        <v>583</v>
      </c>
      <c r="H83" s="81"/>
      <c r="I83" s="79" t="s">
        <v>31</v>
      </c>
      <c r="J83" s="72">
        <v>38766</v>
      </c>
      <c r="K83" s="81"/>
      <c r="L83" s="79" t="s">
        <v>31</v>
      </c>
      <c r="M83" s="72">
        <v>39250</v>
      </c>
      <c r="N83" s="28">
        <f>+(J83+M83)</f>
        <v>78016</v>
      </c>
      <c r="O83" s="28">
        <f t="shared" si="35"/>
        <v>1500.3076923076924</v>
      </c>
      <c r="P83" s="28">
        <f t="shared" si="36"/>
        <v>300.06153846153848</v>
      </c>
      <c r="Q83" s="28">
        <f t="shared" si="37"/>
        <v>4836.9920000000002</v>
      </c>
      <c r="R83" s="28">
        <f t="shared" si="38"/>
        <v>1131.232</v>
      </c>
      <c r="S83" s="28">
        <f>+(N83*0.1495)</f>
        <v>11663.392</v>
      </c>
    </row>
    <row r="84" spans="1:27" x14ac:dyDescent="0.25">
      <c r="A84" s="88" t="s">
        <v>524</v>
      </c>
      <c r="B84" s="70" t="s">
        <v>525</v>
      </c>
      <c r="C84" s="70" t="s">
        <v>84</v>
      </c>
      <c r="D84" s="70" t="s">
        <v>526</v>
      </c>
      <c r="E84" s="70" t="s">
        <v>552</v>
      </c>
      <c r="F84" s="71">
        <v>42562</v>
      </c>
      <c r="G84" s="74" t="s">
        <v>817</v>
      </c>
      <c r="H84" s="81"/>
      <c r="I84" s="79"/>
      <c r="J84" s="81"/>
      <c r="K84" s="81"/>
      <c r="L84" s="79"/>
      <c r="M84" s="81"/>
      <c r="N84" s="28">
        <v>103793</v>
      </c>
      <c r="O84" s="28">
        <f t="shared" si="35"/>
        <v>1996.0192307692307</v>
      </c>
      <c r="P84" s="28">
        <f t="shared" si="36"/>
        <v>399.20384615384614</v>
      </c>
      <c r="Q84" s="28">
        <f t="shared" si="37"/>
        <v>6435.1660000000002</v>
      </c>
      <c r="R84" s="28">
        <f t="shared" si="38"/>
        <v>1504.9985000000001</v>
      </c>
      <c r="S84" s="28">
        <f>+(N84*0.1495)</f>
        <v>15517.0535</v>
      </c>
    </row>
    <row r="85" spans="1:27" x14ac:dyDescent="0.25">
      <c r="A85" s="70" t="s">
        <v>537</v>
      </c>
      <c r="B85" s="70" t="s">
        <v>538</v>
      </c>
      <c r="C85" s="70" t="s">
        <v>84</v>
      </c>
      <c r="D85" s="70" t="s">
        <v>539</v>
      </c>
      <c r="E85" s="79" t="s">
        <v>722</v>
      </c>
      <c r="F85" s="71">
        <v>33051</v>
      </c>
      <c r="G85" s="79"/>
      <c r="H85" s="81"/>
      <c r="I85" s="79"/>
      <c r="J85" s="81"/>
      <c r="K85" s="81"/>
      <c r="L85" s="79"/>
      <c r="M85" s="81"/>
      <c r="N85" s="28">
        <v>75000</v>
      </c>
      <c r="O85" s="28">
        <f t="shared" si="35"/>
        <v>1442.3076923076924</v>
      </c>
      <c r="P85" s="28">
        <f t="shared" si="36"/>
        <v>288.46153846153845</v>
      </c>
      <c r="Q85" s="28">
        <f t="shared" si="37"/>
        <v>4650</v>
      </c>
      <c r="R85" s="28">
        <f t="shared" si="38"/>
        <v>1087.5</v>
      </c>
      <c r="S85" s="28"/>
    </row>
    <row r="86" spans="1:27" x14ac:dyDescent="0.25">
      <c r="A86" s="70" t="s">
        <v>505</v>
      </c>
      <c r="B86" s="70" t="s">
        <v>506</v>
      </c>
      <c r="C86" s="70" t="s">
        <v>84</v>
      </c>
      <c r="D86" s="70" t="s">
        <v>499</v>
      </c>
      <c r="E86" s="79" t="s">
        <v>722</v>
      </c>
      <c r="F86" s="75">
        <v>44116</v>
      </c>
      <c r="G86" s="79"/>
      <c r="H86" s="81"/>
      <c r="I86" s="79"/>
      <c r="J86" s="81"/>
      <c r="K86" s="81"/>
      <c r="L86" s="79"/>
      <c r="M86" s="81"/>
      <c r="N86" s="28">
        <v>140760</v>
      </c>
      <c r="O86" s="28">
        <f t="shared" si="35"/>
        <v>2706.9230769230771</v>
      </c>
      <c r="P86" s="28">
        <f t="shared" si="36"/>
        <v>541.38461538461547</v>
      </c>
      <c r="Q86" s="28">
        <f t="shared" si="37"/>
        <v>8727.1200000000008</v>
      </c>
      <c r="R86" s="28">
        <f t="shared" si="38"/>
        <v>2041.0200000000002</v>
      </c>
      <c r="S86" s="28">
        <f>+(N86*0.1495)</f>
        <v>21043.62</v>
      </c>
    </row>
    <row r="87" spans="1:27" x14ac:dyDescent="0.25">
      <c r="A87" s="70" t="s">
        <v>590</v>
      </c>
      <c r="B87" s="70" t="s">
        <v>591</v>
      </c>
      <c r="C87" s="70" t="s">
        <v>105</v>
      </c>
      <c r="D87" s="70" t="s">
        <v>529</v>
      </c>
      <c r="E87" s="70" t="s">
        <v>523</v>
      </c>
      <c r="F87" s="71">
        <v>36486</v>
      </c>
      <c r="G87" s="70" t="s">
        <v>584</v>
      </c>
      <c r="H87" s="72">
        <v>32.26</v>
      </c>
      <c r="I87" s="70">
        <v>35</v>
      </c>
      <c r="J87" s="72">
        <f>+(I87*H87*26)</f>
        <v>29356.6</v>
      </c>
      <c r="K87" s="72">
        <v>32.659999999999997</v>
      </c>
      <c r="L87" s="70">
        <v>35</v>
      </c>
      <c r="M87" s="72">
        <f>+(L87*K87*26)</f>
        <v>29720.6</v>
      </c>
      <c r="N87" s="28">
        <f>+(J87+M87)</f>
        <v>59077.2</v>
      </c>
      <c r="O87" s="28">
        <f t="shared" si="35"/>
        <v>1136.0999999999999</v>
      </c>
      <c r="P87" s="28">
        <f t="shared" si="36"/>
        <v>227.21999999999997</v>
      </c>
      <c r="Q87" s="28">
        <f t="shared" si="37"/>
        <v>3662.7864</v>
      </c>
      <c r="R87" s="28">
        <f t="shared" si="38"/>
        <v>856.61940000000004</v>
      </c>
      <c r="S87" s="28">
        <f>+(N87*0.1495)</f>
        <v>8832.0414000000001</v>
      </c>
    </row>
    <row r="88" spans="1:27" x14ac:dyDescent="0.25">
      <c r="N88" s="27" t="s">
        <v>31</v>
      </c>
    </row>
    <row r="89" spans="1:27" x14ac:dyDescent="0.25">
      <c r="N89" s="27">
        <f>SUM(N82:N87)</f>
        <v>524768.19999999995</v>
      </c>
    </row>
    <row r="95" spans="1:27" ht="48.75" customHeight="1" x14ac:dyDescent="0.25">
      <c r="A95" s="2"/>
      <c r="B95" s="2"/>
      <c r="C95" s="2"/>
      <c r="D95" s="2" t="s">
        <v>488</v>
      </c>
      <c r="E95" s="2"/>
      <c r="F95" s="2" t="s">
        <v>1357</v>
      </c>
      <c r="G95" s="2" t="s">
        <v>1356</v>
      </c>
      <c r="H95" s="2" t="s">
        <v>1355</v>
      </c>
      <c r="I95" s="83" t="s">
        <v>502</v>
      </c>
      <c r="J95" s="83" t="s">
        <v>811</v>
      </c>
      <c r="K95" s="83" t="s">
        <v>812</v>
      </c>
      <c r="L95" s="83" t="s">
        <v>1353</v>
      </c>
      <c r="M95" s="83" t="s">
        <v>491</v>
      </c>
      <c r="N95" s="83" t="s">
        <v>779</v>
      </c>
      <c r="O95" s="83" t="s">
        <v>1354</v>
      </c>
      <c r="P95" s="83" t="s">
        <v>1354</v>
      </c>
      <c r="Q95" s="8"/>
      <c r="R95" s="8"/>
      <c r="S95" s="8"/>
      <c r="U95"/>
      <c r="Z95"/>
      <c r="AA95"/>
    </row>
    <row r="96" spans="1:27" x14ac:dyDescent="0.25">
      <c r="A96" s="74" t="s">
        <v>560</v>
      </c>
      <c r="B96" s="70" t="s">
        <v>561</v>
      </c>
      <c r="C96" s="70" t="s">
        <v>562</v>
      </c>
      <c r="D96" s="70" t="s">
        <v>563</v>
      </c>
      <c r="E96" s="70" t="s">
        <v>552</v>
      </c>
      <c r="F96" s="86">
        <v>42233</v>
      </c>
      <c r="G96" s="74" t="s">
        <v>585</v>
      </c>
      <c r="H96" s="80">
        <v>22021</v>
      </c>
      <c r="I96" s="28">
        <v>65546</v>
      </c>
      <c r="J96" s="28">
        <f t="shared" ref="J96:J103" si="39">+(I96*0.062)</f>
        <v>4063.8519999999999</v>
      </c>
      <c r="K96" s="28">
        <f t="shared" ref="K96:K103" si="40">+(I96*0.0145)</f>
        <v>950.41700000000003</v>
      </c>
      <c r="L96" s="28">
        <f t="shared" ref="L96:L103" si="41">+(I96*0.1675)</f>
        <v>10978.955</v>
      </c>
      <c r="M96" s="110" t="s">
        <v>31</v>
      </c>
      <c r="N96" s="110"/>
      <c r="O96" s="27">
        <v>4000</v>
      </c>
      <c r="P96" s="28">
        <v>4000</v>
      </c>
      <c r="S96"/>
      <c r="T96" s="27"/>
      <c r="U96"/>
      <c r="Z96"/>
      <c r="AA96"/>
    </row>
    <row r="97" spans="1:27" x14ac:dyDescent="0.25">
      <c r="A97" s="74" t="s">
        <v>524</v>
      </c>
      <c r="B97" s="70" t="s">
        <v>525</v>
      </c>
      <c r="C97" s="70" t="s">
        <v>84</v>
      </c>
      <c r="D97" s="70" t="s">
        <v>526</v>
      </c>
      <c r="E97" s="70" t="s">
        <v>552</v>
      </c>
      <c r="F97" s="86">
        <v>42562</v>
      </c>
      <c r="G97" s="74" t="s">
        <v>817</v>
      </c>
      <c r="H97" s="80">
        <v>24736</v>
      </c>
      <c r="I97" s="28">
        <v>103793</v>
      </c>
      <c r="J97" s="28">
        <f t="shared" si="39"/>
        <v>6435.1660000000002</v>
      </c>
      <c r="K97" s="28">
        <f t="shared" si="40"/>
        <v>1504.9985000000001</v>
      </c>
      <c r="L97" s="28">
        <f t="shared" si="41"/>
        <v>17385.327499999999</v>
      </c>
      <c r="M97" s="28">
        <v>32219.75</v>
      </c>
      <c r="N97" s="77">
        <f>+(M97*0.885)</f>
        <v>28514.478750000002</v>
      </c>
      <c r="O97" s="254"/>
      <c r="P97" s="28" t="s">
        <v>31</v>
      </c>
      <c r="S97"/>
      <c r="T97" s="27"/>
      <c r="U97"/>
      <c r="Z97"/>
      <c r="AA97"/>
    </row>
    <row r="98" spans="1:27" x14ac:dyDescent="0.25">
      <c r="A98" s="74" t="s">
        <v>587</v>
      </c>
      <c r="B98" s="70" t="s">
        <v>588</v>
      </c>
      <c r="C98" s="70" t="s">
        <v>105</v>
      </c>
      <c r="D98" s="70" t="s">
        <v>589</v>
      </c>
      <c r="E98" s="70" t="s">
        <v>552</v>
      </c>
      <c r="F98" s="86">
        <v>34960</v>
      </c>
      <c r="G98" s="74" t="s">
        <v>818</v>
      </c>
      <c r="H98" s="80">
        <v>28726</v>
      </c>
      <c r="I98" s="28">
        <v>78522</v>
      </c>
      <c r="J98" s="28">
        <f t="shared" si="39"/>
        <v>4868.3639999999996</v>
      </c>
      <c r="K98" s="28">
        <f t="shared" si="40"/>
        <v>1138.569</v>
      </c>
      <c r="L98" s="28">
        <f t="shared" si="41"/>
        <v>13152.435000000001</v>
      </c>
      <c r="M98" s="29"/>
      <c r="N98" s="29"/>
      <c r="O98" s="27">
        <v>4000</v>
      </c>
      <c r="P98" s="28">
        <v>4000</v>
      </c>
      <c r="Q98"/>
      <c r="T98" s="27"/>
      <c r="U98"/>
      <c r="Z98"/>
      <c r="AA98"/>
    </row>
    <row r="99" spans="1:27" x14ac:dyDescent="0.25">
      <c r="A99" s="74" t="s">
        <v>601</v>
      </c>
      <c r="B99" s="70" t="s">
        <v>602</v>
      </c>
      <c r="C99" s="70" t="s">
        <v>603</v>
      </c>
      <c r="D99" s="70" t="s">
        <v>589</v>
      </c>
      <c r="E99" s="70" t="s">
        <v>552</v>
      </c>
      <c r="F99" s="86">
        <v>35941</v>
      </c>
      <c r="G99" s="74" t="s">
        <v>583</v>
      </c>
      <c r="H99" s="80">
        <v>26574</v>
      </c>
      <c r="I99" s="28">
        <v>75066</v>
      </c>
      <c r="J99" s="28">
        <f t="shared" si="39"/>
        <v>4654.0919999999996</v>
      </c>
      <c r="K99" s="28">
        <f t="shared" si="40"/>
        <v>1088.4570000000001</v>
      </c>
      <c r="L99" s="28">
        <f t="shared" si="41"/>
        <v>12573.555</v>
      </c>
      <c r="M99" s="28">
        <v>32219.75</v>
      </c>
      <c r="N99" s="28">
        <f t="shared" ref="N99:N103" si="42">+(M99*0.885)</f>
        <v>28514.478750000002</v>
      </c>
      <c r="O99" s="254"/>
      <c r="P99" s="255"/>
      <c r="Q99"/>
      <c r="T99" s="27"/>
      <c r="U99"/>
      <c r="Z99"/>
      <c r="AA99"/>
    </row>
    <row r="100" spans="1:27" x14ac:dyDescent="0.25">
      <c r="A100" s="74" t="s">
        <v>720</v>
      </c>
      <c r="B100" s="70" t="s">
        <v>721</v>
      </c>
      <c r="C100" s="70" t="s">
        <v>107</v>
      </c>
      <c r="D100" s="70" t="s">
        <v>589</v>
      </c>
      <c r="E100" s="70" t="s">
        <v>552</v>
      </c>
      <c r="F100" s="86">
        <v>39163</v>
      </c>
      <c r="G100" s="74" t="s">
        <v>583</v>
      </c>
      <c r="H100" s="80">
        <v>24553</v>
      </c>
      <c r="I100" s="28">
        <v>75066</v>
      </c>
      <c r="J100" s="28">
        <f t="shared" si="39"/>
        <v>4654.0919999999996</v>
      </c>
      <c r="K100" s="28">
        <f t="shared" si="40"/>
        <v>1088.4570000000001</v>
      </c>
      <c r="L100" s="28">
        <f t="shared" si="41"/>
        <v>12573.555</v>
      </c>
      <c r="M100" s="28">
        <v>32219.75</v>
      </c>
      <c r="N100" s="28">
        <f t="shared" si="42"/>
        <v>28514.478750000002</v>
      </c>
      <c r="O100" s="254"/>
      <c r="P100" s="255"/>
      <c r="Q100"/>
      <c r="T100" s="27"/>
      <c r="U100"/>
      <c r="Z100"/>
      <c r="AA100"/>
    </row>
    <row r="101" spans="1:27" x14ac:dyDescent="0.25">
      <c r="A101" s="74" t="s">
        <v>556</v>
      </c>
      <c r="B101" s="70" t="s">
        <v>545</v>
      </c>
      <c r="C101" s="70" t="s">
        <v>102</v>
      </c>
      <c r="D101" s="70" t="s">
        <v>102</v>
      </c>
      <c r="E101" s="70" t="s">
        <v>552</v>
      </c>
      <c r="F101" s="75">
        <v>44229</v>
      </c>
      <c r="G101" s="74" t="s">
        <v>816</v>
      </c>
      <c r="H101" s="74" t="s">
        <v>1358</v>
      </c>
      <c r="I101" s="28">
        <v>87836</v>
      </c>
      <c r="J101" s="28">
        <f t="shared" si="39"/>
        <v>5445.8320000000003</v>
      </c>
      <c r="K101" s="28">
        <f t="shared" si="40"/>
        <v>1273.6220000000001</v>
      </c>
      <c r="L101" s="28">
        <f t="shared" si="41"/>
        <v>14712.53</v>
      </c>
      <c r="M101" s="28">
        <v>12291.42</v>
      </c>
      <c r="N101" s="77">
        <f t="shared" si="42"/>
        <v>10877.9067</v>
      </c>
      <c r="O101" s="254"/>
      <c r="P101" s="255"/>
      <c r="Q101"/>
      <c r="T101" s="27"/>
      <c r="U101"/>
      <c r="Z101"/>
      <c r="AA101"/>
    </row>
    <row r="102" spans="1:27" x14ac:dyDescent="0.25">
      <c r="A102" s="74" t="s">
        <v>517</v>
      </c>
      <c r="B102" s="70" t="s">
        <v>518</v>
      </c>
      <c r="C102" s="70" t="s">
        <v>519</v>
      </c>
      <c r="D102" s="70" t="s">
        <v>519</v>
      </c>
      <c r="E102" s="70" t="s">
        <v>552</v>
      </c>
      <c r="F102" s="86">
        <v>35416</v>
      </c>
      <c r="G102" s="74" t="s">
        <v>583</v>
      </c>
      <c r="H102" s="80">
        <v>29826</v>
      </c>
      <c r="I102" s="28">
        <v>75066</v>
      </c>
      <c r="J102" s="28">
        <f t="shared" si="39"/>
        <v>4654.0919999999996</v>
      </c>
      <c r="K102" s="28">
        <f t="shared" si="40"/>
        <v>1088.4570000000001</v>
      </c>
      <c r="L102" s="28">
        <f t="shared" si="41"/>
        <v>12573.555</v>
      </c>
      <c r="M102" s="28">
        <v>12291.42</v>
      </c>
      <c r="N102" s="77">
        <f t="shared" si="42"/>
        <v>10877.9067</v>
      </c>
      <c r="O102" s="254"/>
      <c r="P102" s="255"/>
      <c r="Q102"/>
      <c r="T102" s="27"/>
      <c r="U102"/>
      <c r="Z102"/>
      <c r="AA102"/>
    </row>
    <row r="103" spans="1:27" x14ac:dyDescent="0.25">
      <c r="A103" s="74" t="s">
        <v>548</v>
      </c>
      <c r="B103" s="74" t="s">
        <v>549</v>
      </c>
      <c r="C103" s="74" t="s">
        <v>550</v>
      </c>
      <c r="D103" s="74" t="s">
        <v>551</v>
      </c>
      <c r="E103" s="74" t="s">
        <v>552</v>
      </c>
      <c r="F103" s="257">
        <v>39051</v>
      </c>
      <c r="G103" s="74" t="s">
        <v>583</v>
      </c>
      <c r="H103" s="80">
        <v>20869</v>
      </c>
      <c r="I103" s="77">
        <v>75066</v>
      </c>
      <c r="J103" s="77">
        <f t="shared" si="39"/>
        <v>4654.0919999999996</v>
      </c>
      <c r="K103" s="77">
        <f t="shared" si="40"/>
        <v>1088.4570000000001</v>
      </c>
      <c r="L103" s="77">
        <f t="shared" si="41"/>
        <v>12573.555</v>
      </c>
      <c r="M103" s="77">
        <v>12291.42</v>
      </c>
      <c r="N103" s="77">
        <f t="shared" si="42"/>
        <v>10877.9067</v>
      </c>
      <c r="O103" s="67"/>
      <c r="P103" s="258"/>
      <c r="Q103"/>
      <c r="T103" s="27"/>
      <c r="U103"/>
      <c r="Z103"/>
      <c r="AA103"/>
    </row>
    <row r="104" spans="1:27" x14ac:dyDescent="0.25">
      <c r="N104"/>
      <c r="O104" s="27"/>
      <c r="Q104"/>
      <c r="T104" s="27"/>
      <c r="U104"/>
      <c r="Y104" s="27"/>
      <c r="AA104"/>
    </row>
    <row r="105" spans="1:27" x14ac:dyDescent="0.25">
      <c r="G105" s="74" t="s">
        <v>1361</v>
      </c>
      <c r="H105" s="255"/>
      <c r="I105" s="259">
        <f>SUM(I96:I103)</f>
        <v>635961</v>
      </c>
      <c r="J105" s="28">
        <f t="shared" ref="J105:M105" si="43">SUM(J96:J103)</f>
        <v>39429.581999999995</v>
      </c>
      <c r="K105" s="28">
        <f t="shared" si="43"/>
        <v>9221.4345000000012</v>
      </c>
      <c r="L105" s="28">
        <f t="shared" si="43"/>
        <v>106523.4675</v>
      </c>
      <c r="M105" s="28">
        <f t="shared" si="43"/>
        <v>133533.51</v>
      </c>
      <c r="N105" s="28">
        <f>SUM(N96:N103)</f>
        <v>118177.15634999998</v>
      </c>
      <c r="O105" s="28">
        <f>SUM(O96:O103)</f>
        <v>8000</v>
      </c>
      <c r="P105" s="28">
        <v>8000</v>
      </c>
      <c r="Q105"/>
      <c r="T105" s="27"/>
      <c r="U105"/>
      <c r="Y105" s="27"/>
      <c r="AA105"/>
    </row>
    <row r="108" spans="1:27" ht="48.75" customHeight="1" x14ac:dyDescent="0.25">
      <c r="I108" s="83" t="s">
        <v>502</v>
      </c>
      <c r="J108" s="83" t="s">
        <v>811</v>
      </c>
      <c r="K108" s="83" t="s">
        <v>812</v>
      </c>
      <c r="L108" s="83" t="s">
        <v>1359</v>
      </c>
      <c r="M108" s="83" t="s">
        <v>491</v>
      </c>
      <c r="N108" s="83" t="s">
        <v>779</v>
      </c>
      <c r="O108" s="83" t="s">
        <v>1354</v>
      </c>
      <c r="P108" s="83" t="s">
        <v>1354</v>
      </c>
    </row>
    <row r="110" spans="1:27" x14ac:dyDescent="0.25">
      <c r="G110" s="10" t="s">
        <v>1360</v>
      </c>
      <c r="H110" s="10"/>
      <c r="I110" s="256">
        <v>8933708.1799999997</v>
      </c>
      <c r="J110" s="256">
        <v>271459.62820000015</v>
      </c>
      <c r="K110" s="256">
        <v>125913.76861</v>
      </c>
      <c r="L110" s="256">
        <v>1790581.0068020006</v>
      </c>
      <c r="M110" s="256">
        <v>1895626.6800000002</v>
      </c>
      <c r="N110" s="256">
        <v>1786076.0148</v>
      </c>
      <c r="O110" s="256"/>
      <c r="P110" s="256">
        <v>78000</v>
      </c>
    </row>
  </sheetData>
  <pageMargins left="0.7" right="0.7" top="0.75" bottom="0.75" header="0.3" footer="0.3"/>
  <pageSetup scale="3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C9E50-D2C2-42F6-B670-45C8CF6C8DAD}">
  <dimension ref="A4:I28"/>
  <sheetViews>
    <sheetView workbookViewId="0">
      <selection activeCell="N23" sqref="N23"/>
    </sheetView>
  </sheetViews>
  <sheetFormatPr defaultRowHeight="15" x14ac:dyDescent="0.25"/>
  <cols>
    <col min="2" max="2" width="9.42578125" customWidth="1"/>
    <col min="3" max="3" width="14.5703125" customWidth="1"/>
    <col min="4" max="5" width="15.140625" customWidth="1"/>
    <col min="6" max="6" width="15.85546875" customWidth="1"/>
    <col min="7" max="7" width="14.28515625" bestFit="1" customWidth="1"/>
    <col min="8" max="8" width="12.5703125" bestFit="1" customWidth="1"/>
    <col min="9" max="9" width="11.5703125" bestFit="1" customWidth="1"/>
  </cols>
  <sheetData>
    <row r="4" spans="1:8" ht="30" x14ac:dyDescent="0.25">
      <c r="C4" s="2" t="s">
        <v>502</v>
      </c>
      <c r="D4" s="1" t="s">
        <v>811</v>
      </c>
      <c r="E4" s="1" t="s">
        <v>812</v>
      </c>
      <c r="F4" s="1" t="s">
        <v>1349</v>
      </c>
      <c r="G4" s="2" t="s">
        <v>19</v>
      </c>
    </row>
    <row r="5" spans="1:8" x14ac:dyDescent="0.25">
      <c r="A5" s="99">
        <v>2.5000000000000001E-2</v>
      </c>
      <c r="B5" t="s">
        <v>1421</v>
      </c>
      <c r="C5" s="27">
        <v>1410370.8</v>
      </c>
      <c r="D5" s="27">
        <v>87442.989599999986</v>
      </c>
      <c r="E5" s="27">
        <v>20450.376600000003</v>
      </c>
      <c r="F5" s="27">
        <v>233537.109</v>
      </c>
      <c r="G5" s="27">
        <v>1751801.2752</v>
      </c>
      <c r="H5" s="27"/>
    </row>
    <row r="6" spans="1:8" x14ac:dyDescent="0.25">
      <c r="A6">
        <v>1</v>
      </c>
      <c r="B6" t="s">
        <v>1420</v>
      </c>
      <c r="C6" s="27">
        <v>1445630.0699999998</v>
      </c>
      <c r="D6" s="27">
        <v>89629.064339999983</v>
      </c>
      <c r="E6" s="27">
        <v>20961.636015</v>
      </c>
      <c r="F6" s="27">
        <v>239375.53672499998</v>
      </c>
      <c r="G6" s="27">
        <v>1795596.3070799999</v>
      </c>
      <c r="H6" s="27">
        <v>43795.031879999908</v>
      </c>
    </row>
    <row r="7" spans="1:8" x14ac:dyDescent="0.25">
      <c r="A7">
        <v>2</v>
      </c>
      <c r="B7" t="s">
        <v>1422</v>
      </c>
      <c r="C7" s="27">
        <v>1481770.8217499997</v>
      </c>
      <c r="D7" s="27">
        <v>91869.790948499969</v>
      </c>
      <c r="E7" s="27">
        <v>21485.676915374999</v>
      </c>
      <c r="F7" s="27">
        <v>245359.92514312497</v>
      </c>
      <c r="G7" s="27">
        <v>1840486.2147569996</v>
      </c>
      <c r="H7" s="27">
        <v>44889.90767699969</v>
      </c>
    </row>
    <row r="8" spans="1:8" x14ac:dyDescent="0.25">
      <c r="A8">
        <v>3</v>
      </c>
      <c r="B8" t="s">
        <v>1423</v>
      </c>
      <c r="C8" s="27">
        <v>1518815.0922937496</v>
      </c>
      <c r="D8" s="27">
        <v>94166.535722212458</v>
      </c>
      <c r="E8" s="27">
        <v>22022.818838259373</v>
      </c>
      <c r="F8" s="27">
        <v>251493.92327170307</v>
      </c>
      <c r="G8" s="27">
        <v>1886498.3701259245</v>
      </c>
      <c r="H8" s="27">
        <v>46012.155368924839</v>
      </c>
    </row>
    <row r="9" spans="1:8" x14ac:dyDescent="0.25">
      <c r="A9">
        <v>4</v>
      </c>
      <c r="B9" t="s">
        <v>1424</v>
      </c>
      <c r="C9" s="27">
        <v>1556785.4696010931</v>
      </c>
      <c r="D9" s="27">
        <v>96520.699115267766</v>
      </c>
      <c r="E9" s="27">
        <v>22573.389309215854</v>
      </c>
      <c r="F9" s="27">
        <v>257781.27135349563</v>
      </c>
      <c r="G9" s="27">
        <v>1933660.8293790722</v>
      </c>
      <c r="H9" s="27">
        <v>47162.45925314771</v>
      </c>
    </row>
    <row r="10" spans="1:8" x14ac:dyDescent="0.25">
      <c r="A10">
        <v>5</v>
      </c>
      <c r="B10" t="s">
        <v>1425</v>
      </c>
      <c r="C10" s="27">
        <v>1595705.1063411203</v>
      </c>
      <c r="D10" s="27">
        <v>98933.716593149453</v>
      </c>
      <c r="E10" s="27">
        <v>23137.724041946247</v>
      </c>
      <c r="F10" s="27">
        <v>264225.80313733302</v>
      </c>
      <c r="G10" s="27">
        <v>1982002.3501135488</v>
      </c>
      <c r="H10" s="27">
        <v>48341.520734476624</v>
      </c>
    </row>
    <row r="11" spans="1:8" x14ac:dyDescent="0.25">
      <c r="C11" s="27"/>
      <c r="D11" s="27"/>
      <c r="E11" s="27"/>
      <c r="F11" s="27"/>
      <c r="G11" s="27"/>
      <c r="H11" s="27">
        <v>230201.07491354877</v>
      </c>
    </row>
    <row r="12" spans="1:8" x14ac:dyDescent="0.25">
      <c r="C12" s="27"/>
      <c r="D12" s="27"/>
      <c r="E12" s="27"/>
      <c r="F12" s="27"/>
      <c r="G12" s="27"/>
      <c r="H12" s="27"/>
    </row>
    <row r="13" spans="1:8" x14ac:dyDescent="0.25">
      <c r="A13" s="99">
        <v>2.2499999999999999E-2</v>
      </c>
      <c r="B13" t="s">
        <v>1421</v>
      </c>
      <c r="C13" s="27">
        <v>1410370.8</v>
      </c>
      <c r="D13" s="27">
        <v>87442.989599999986</v>
      </c>
      <c r="E13" s="27">
        <v>20450.376600000003</v>
      </c>
      <c r="F13" s="27">
        <v>233537.109</v>
      </c>
      <c r="G13" s="27">
        <v>1751801.2752</v>
      </c>
      <c r="H13" s="27"/>
    </row>
    <row r="14" spans="1:8" x14ac:dyDescent="0.25">
      <c r="A14">
        <v>1</v>
      </c>
      <c r="B14" t="s">
        <v>1420</v>
      </c>
      <c r="C14" s="27">
        <v>1442104.1429999999</v>
      </c>
      <c r="D14" s="27">
        <v>89410.456865999979</v>
      </c>
      <c r="E14" s="27">
        <v>20910.510073500001</v>
      </c>
      <c r="F14" s="27">
        <v>238791.69395249998</v>
      </c>
      <c r="G14" s="27">
        <v>1791216.8038919999</v>
      </c>
      <c r="H14" s="27">
        <v>39415.528691999847</v>
      </c>
    </row>
    <row r="15" spans="1:8" x14ac:dyDescent="0.25">
      <c r="A15">
        <v>2</v>
      </c>
      <c r="B15" t="s">
        <v>1422</v>
      </c>
      <c r="C15" s="27">
        <v>1474551.4862174999</v>
      </c>
      <c r="D15" s="27">
        <v>91422.19214548498</v>
      </c>
      <c r="E15" s="27">
        <v>21380.996550153752</v>
      </c>
      <c r="F15" s="27">
        <v>244164.50706643122</v>
      </c>
      <c r="G15" s="27">
        <v>1831519.1819795698</v>
      </c>
      <c r="H15" s="27">
        <v>40302.378087569959</v>
      </c>
    </row>
    <row r="16" spans="1:8" x14ac:dyDescent="0.25">
      <c r="A16">
        <v>3</v>
      </c>
      <c r="B16" t="s">
        <v>1423</v>
      </c>
      <c r="C16" s="27">
        <v>1507728.8946573937</v>
      </c>
      <c r="D16" s="27">
        <v>93479.191468758392</v>
      </c>
      <c r="E16" s="27">
        <v>21862.068972532212</v>
      </c>
      <c r="F16" s="27">
        <v>249658.20847542593</v>
      </c>
      <c r="G16" s="27">
        <v>1872728.36357411</v>
      </c>
      <c r="H16" s="27">
        <v>41209.181594540132</v>
      </c>
    </row>
    <row r="17" spans="1:9" x14ac:dyDescent="0.25">
      <c r="A17">
        <v>4</v>
      </c>
      <c r="B17" t="s">
        <v>1424</v>
      </c>
      <c r="C17" s="27">
        <v>1541652.794787185</v>
      </c>
      <c r="D17" s="27">
        <v>95582.473276805453</v>
      </c>
      <c r="E17" s="27">
        <v>22353.965524414187</v>
      </c>
      <c r="F17" s="27">
        <v>255275.51816612299</v>
      </c>
      <c r="G17" s="27">
        <v>1914864.7517545274</v>
      </c>
      <c r="H17" s="27">
        <v>42136.388180417474</v>
      </c>
    </row>
    <row r="18" spans="1:9" x14ac:dyDescent="0.25">
      <c r="A18">
        <v>5</v>
      </c>
      <c r="B18" t="s">
        <v>1425</v>
      </c>
      <c r="C18" s="27">
        <v>1576339.9826698967</v>
      </c>
      <c r="D18" s="27">
        <v>97733.078925533569</v>
      </c>
      <c r="E18" s="27">
        <v>22856.929748713505</v>
      </c>
      <c r="F18" s="27">
        <v>261019.21732486074</v>
      </c>
      <c r="G18" s="27">
        <v>1957949.2086690045</v>
      </c>
      <c r="H18" s="27">
        <v>43084.45691447705</v>
      </c>
    </row>
    <row r="19" spans="1:9" x14ac:dyDescent="0.25">
      <c r="H19" s="27">
        <v>206147.93346900446</v>
      </c>
    </row>
    <row r="20" spans="1:9" x14ac:dyDescent="0.25">
      <c r="I20" s="177">
        <f>+(H11-H19)</f>
        <v>24053.141444544308</v>
      </c>
    </row>
    <row r="22" spans="1:9" x14ac:dyDescent="0.25">
      <c r="D22" s="2" t="s">
        <v>1426</v>
      </c>
      <c r="E22" s="2" t="s">
        <v>1427</v>
      </c>
    </row>
    <row r="23" spans="1:9" x14ac:dyDescent="0.25">
      <c r="B23" t="s">
        <v>1421</v>
      </c>
      <c r="C23" s="27">
        <v>10.95</v>
      </c>
      <c r="D23" s="27">
        <f>+(C23*40)*52</f>
        <v>22776</v>
      </c>
      <c r="E23" s="27">
        <f>+(D23*21)</f>
        <v>478296</v>
      </c>
    </row>
    <row r="24" spans="1:9" x14ac:dyDescent="0.25">
      <c r="B24" t="s">
        <v>1420</v>
      </c>
      <c r="C24" s="27">
        <v>9.9499999999999993</v>
      </c>
      <c r="D24" s="27">
        <f t="shared" ref="D24:D28" si="0">+(C24*40)*52</f>
        <v>20696</v>
      </c>
      <c r="E24" s="27">
        <f t="shared" ref="E24:E28" si="1">+(D24*21)</f>
        <v>434616</v>
      </c>
      <c r="F24" s="177">
        <f>+(E24-E23)</f>
        <v>-43680</v>
      </c>
    </row>
    <row r="25" spans="1:9" x14ac:dyDescent="0.25">
      <c r="B25" t="s">
        <v>1422</v>
      </c>
      <c r="C25" s="27">
        <v>9.9499999999999993</v>
      </c>
      <c r="D25" s="27">
        <f t="shared" si="0"/>
        <v>20696</v>
      </c>
      <c r="E25" s="27">
        <f t="shared" si="1"/>
        <v>434616</v>
      </c>
      <c r="F25" s="27">
        <f t="shared" ref="F25:F28" si="2">+(E25-E24)</f>
        <v>0</v>
      </c>
    </row>
    <row r="26" spans="1:9" x14ac:dyDescent="0.25">
      <c r="B26" t="s">
        <v>1423</v>
      </c>
      <c r="C26" s="27">
        <v>9.9499999999999993</v>
      </c>
      <c r="D26" s="27">
        <f t="shared" si="0"/>
        <v>20696</v>
      </c>
      <c r="E26" s="27">
        <f t="shared" si="1"/>
        <v>434616</v>
      </c>
      <c r="F26" s="27">
        <f t="shared" si="2"/>
        <v>0</v>
      </c>
    </row>
    <row r="27" spans="1:9" x14ac:dyDescent="0.25">
      <c r="B27" t="s">
        <v>1424</v>
      </c>
      <c r="C27" s="27">
        <v>10.65</v>
      </c>
      <c r="D27" s="27">
        <f t="shared" si="0"/>
        <v>22152</v>
      </c>
      <c r="E27" s="27">
        <f t="shared" si="1"/>
        <v>465192</v>
      </c>
      <c r="F27" s="27">
        <f t="shared" si="2"/>
        <v>30576</v>
      </c>
    </row>
    <row r="28" spans="1:9" x14ac:dyDescent="0.25">
      <c r="B28" t="s">
        <v>1425</v>
      </c>
      <c r="C28" s="27">
        <v>10.65</v>
      </c>
      <c r="D28" s="27">
        <f t="shared" si="0"/>
        <v>22152</v>
      </c>
      <c r="E28" s="27">
        <f t="shared" si="1"/>
        <v>465192</v>
      </c>
      <c r="F28" s="27">
        <f t="shared" si="2"/>
        <v>0</v>
      </c>
    </row>
  </sheetData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F52B8-BB5D-4DB4-A6AD-86239B217EBC}">
  <dimension ref="A1:AA10"/>
  <sheetViews>
    <sheetView workbookViewId="0">
      <selection activeCell="F16" sqref="F16"/>
    </sheetView>
  </sheetViews>
  <sheetFormatPr defaultRowHeight="15" x14ac:dyDescent="0.25"/>
  <cols>
    <col min="1" max="1" width="18.28515625" customWidth="1"/>
    <col min="2" max="2" width="19.42578125" style="214" customWidth="1"/>
    <col min="3" max="3" width="14.42578125" style="27" customWidth="1"/>
    <col min="4" max="4" width="1.28515625" customWidth="1"/>
    <col min="5" max="7" width="16" customWidth="1"/>
    <col min="8" max="8" width="1.42578125" customWidth="1"/>
    <col min="9" max="9" width="13.7109375" customWidth="1"/>
    <col min="10" max="10" width="12.7109375" customWidth="1"/>
    <col min="11" max="11" width="14.5703125" customWidth="1"/>
    <col min="12" max="12" width="2.28515625" customWidth="1"/>
    <col min="13" max="13" width="12" customWidth="1"/>
    <col min="14" max="14" width="14.42578125" customWidth="1"/>
    <col min="15" max="15" width="12.85546875" customWidth="1"/>
    <col min="16" max="16" width="2.140625" customWidth="1"/>
    <col min="17" max="17" width="15.7109375" customWidth="1"/>
    <col min="18" max="18" width="14" customWidth="1"/>
    <col min="19" max="19" width="12.140625" customWidth="1"/>
    <col min="20" max="20" width="1.42578125" customWidth="1"/>
    <col min="21" max="21" width="15" customWidth="1"/>
    <col min="22" max="23" width="12.85546875" customWidth="1"/>
  </cols>
  <sheetData>
    <row r="1" spans="1:27" x14ac:dyDescent="0.25">
      <c r="A1" s="2" t="s">
        <v>1331</v>
      </c>
      <c r="B1" s="214" t="s">
        <v>1333</v>
      </c>
      <c r="C1" s="64" t="s">
        <v>1332</v>
      </c>
      <c r="E1" s="2" t="s">
        <v>1331</v>
      </c>
      <c r="F1" s="214" t="s">
        <v>1333</v>
      </c>
      <c r="G1" s="64" t="s">
        <v>1332</v>
      </c>
      <c r="H1" s="64"/>
      <c r="I1" s="2" t="s">
        <v>1331</v>
      </c>
      <c r="J1" s="214" t="s">
        <v>1333</v>
      </c>
      <c r="K1" s="64" t="s">
        <v>1332</v>
      </c>
      <c r="M1" s="2" t="s">
        <v>1331</v>
      </c>
      <c r="N1" s="214" t="s">
        <v>1333</v>
      </c>
      <c r="O1" s="64" t="s">
        <v>1332</v>
      </c>
      <c r="Q1" s="2" t="s">
        <v>1331</v>
      </c>
      <c r="R1" s="214" t="s">
        <v>1333</v>
      </c>
      <c r="S1" s="64" t="s">
        <v>1332</v>
      </c>
      <c r="U1" s="2" t="s">
        <v>1331</v>
      </c>
      <c r="V1" s="214" t="s">
        <v>1333</v>
      </c>
      <c r="W1" s="64" t="s">
        <v>1332</v>
      </c>
      <c r="Y1" s="2"/>
      <c r="Z1" s="214"/>
      <c r="AA1" s="64"/>
    </row>
    <row r="3" spans="1:27" x14ac:dyDescent="0.25">
      <c r="A3" t="s">
        <v>1330</v>
      </c>
      <c r="B3" s="214" t="s">
        <v>1334</v>
      </c>
      <c r="C3" s="27">
        <v>43324.3</v>
      </c>
      <c r="E3" t="s">
        <v>1345</v>
      </c>
      <c r="I3" t="s">
        <v>1343</v>
      </c>
      <c r="J3" s="215">
        <v>44367</v>
      </c>
      <c r="M3" t="s">
        <v>1344</v>
      </c>
      <c r="Q3" t="s">
        <v>1347</v>
      </c>
      <c r="U3" t="s">
        <v>1346</v>
      </c>
    </row>
    <row r="4" spans="1:27" x14ac:dyDescent="0.25">
      <c r="A4" t="s">
        <v>1330</v>
      </c>
      <c r="B4" s="214" t="s">
        <v>1335</v>
      </c>
      <c r="C4" s="27">
        <v>44468.83</v>
      </c>
      <c r="I4" t="s">
        <v>1342</v>
      </c>
    </row>
    <row r="5" spans="1:27" x14ac:dyDescent="0.25">
      <c r="A5" t="s">
        <v>1330</v>
      </c>
      <c r="B5" s="214" t="s">
        <v>1336</v>
      </c>
      <c r="C5" s="27">
        <v>44653.279999999999</v>
      </c>
    </row>
    <row r="6" spans="1:27" x14ac:dyDescent="0.25">
      <c r="A6" t="s">
        <v>1330</v>
      </c>
      <c r="B6" s="214" t="s">
        <v>1337</v>
      </c>
      <c r="C6" s="27">
        <v>40967</v>
      </c>
    </row>
    <row r="7" spans="1:27" x14ac:dyDescent="0.25">
      <c r="A7" t="s">
        <v>1330</v>
      </c>
      <c r="B7" s="214" t="s">
        <v>1338</v>
      </c>
      <c r="C7" s="27">
        <v>43362.13</v>
      </c>
    </row>
    <row r="8" spans="1:27" x14ac:dyDescent="0.25">
      <c r="A8" t="s">
        <v>1330</v>
      </c>
      <c r="B8" s="214" t="s">
        <v>1339</v>
      </c>
      <c r="C8" s="27">
        <v>45355.24</v>
      </c>
    </row>
    <row r="9" spans="1:27" x14ac:dyDescent="0.25">
      <c r="A9" t="s">
        <v>1330</v>
      </c>
      <c r="B9" s="214" t="s">
        <v>1340</v>
      </c>
      <c r="C9" s="27">
        <v>42536.28</v>
      </c>
    </row>
    <row r="10" spans="1:27" x14ac:dyDescent="0.25">
      <c r="A10" t="s">
        <v>1330</v>
      </c>
      <c r="B10" s="214" t="s">
        <v>1341</v>
      </c>
      <c r="C10" s="27">
        <v>41493.74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69E4E-7238-4C99-8DDD-D9AB1E03D033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47F17-BDDE-47A8-8BEB-A64135C9719C}">
  <sheetPr>
    <pageSetUpPr fitToPage="1"/>
  </sheetPr>
  <dimension ref="A1:N36"/>
  <sheetViews>
    <sheetView topLeftCell="A7" workbookViewId="0">
      <selection activeCell="C26" sqref="C26"/>
    </sheetView>
  </sheetViews>
  <sheetFormatPr defaultRowHeight="15" x14ac:dyDescent="0.25"/>
  <cols>
    <col min="1" max="1" width="40.28515625" style="141" customWidth="1"/>
    <col min="2" max="2" width="12.85546875" style="141" customWidth="1"/>
    <col min="3" max="3" width="14.7109375" style="141" customWidth="1"/>
    <col min="4" max="4" width="13.5703125" style="250" customWidth="1"/>
    <col min="5" max="5" width="16.7109375" style="141" customWidth="1"/>
    <col min="6" max="6" width="14.7109375" style="141" customWidth="1"/>
    <col min="7" max="7" width="11" style="141" customWidth="1"/>
    <col min="8" max="8" width="9.5703125" style="87" customWidth="1"/>
    <col min="9" max="9" width="12.85546875" style="87" customWidth="1"/>
    <col min="10" max="10" width="9.140625" style="87"/>
    <col min="14" max="14" width="24" customWidth="1"/>
  </cols>
  <sheetData>
    <row r="1" spans="1:14" ht="29.25" customHeight="1" x14ac:dyDescent="0.55000000000000004">
      <c r="A1" s="416" t="s">
        <v>1273</v>
      </c>
      <c r="B1" s="417"/>
      <c r="C1" s="417"/>
      <c r="D1" s="417"/>
      <c r="E1" s="417"/>
      <c r="F1" s="417"/>
      <c r="G1" s="417"/>
    </row>
    <row r="2" spans="1:14" ht="42.75" x14ac:dyDescent="0.35">
      <c r="A2" s="135"/>
      <c r="B2" s="115" t="s">
        <v>1276</v>
      </c>
      <c r="C2" s="228" t="s">
        <v>1299</v>
      </c>
      <c r="D2" s="244" t="str">
        <f>Expenses!H3</f>
        <v>Mayor's Request</v>
      </c>
      <c r="E2" s="115" t="str">
        <f>Expenses!I3</f>
        <v>BOAT</v>
      </c>
      <c r="F2" s="115" t="str">
        <f>Expenses!J3</f>
        <v>BOA</v>
      </c>
      <c r="G2" s="234" t="s">
        <v>1300</v>
      </c>
      <c r="H2" s="241" t="s">
        <v>1301</v>
      </c>
      <c r="I2" s="178" t="s">
        <v>1302</v>
      </c>
      <c r="J2" s="178" t="s">
        <v>1303</v>
      </c>
    </row>
    <row r="3" spans="1:14" x14ac:dyDescent="0.25">
      <c r="A3" s="158" t="s">
        <v>1283</v>
      </c>
      <c r="B3" s="57"/>
      <c r="C3" s="229"/>
      <c r="D3" s="240"/>
      <c r="E3" s="57"/>
      <c r="F3" s="57"/>
      <c r="G3" s="235"/>
      <c r="H3" s="242"/>
    </row>
    <row r="4" spans="1:14" x14ac:dyDescent="0.25">
      <c r="A4" s="57" t="s">
        <v>402</v>
      </c>
      <c r="B4" s="160">
        <f>Revenue!$E$11</f>
        <v>1490000</v>
      </c>
      <c r="C4" s="230">
        <f>Revenue!$F$11</f>
        <v>1260000</v>
      </c>
      <c r="D4" s="240">
        <f>Revenue!G11</f>
        <v>1346400</v>
      </c>
      <c r="E4" s="54">
        <f>Revenue!H11</f>
        <v>1346400</v>
      </c>
      <c r="F4" s="54">
        <f>Revenue!I11</f>
        <v>0</v>
      </c>
      <c r="G4" s="236">
        <f>(C4-B4)/B4</f>
        <v>-0.15436241610738255</v>
      </c>
      <c r="H4" s="242">
        <f>+(D4-B4)/B4</f>
        <v>-9.6375838926174504E-2</v>
      </c>
      <c r="I4" s="87">
        <f>+(E4-B4)/B4</f>
        <v>-9.6375838926174504E-2</v>
      </c>
      <c r="J4" s="87">
        <f>+(F4-B4)/B4</f>
        <v>-1</v>
      </c>
    </row>
    <row r="5" spans="1:14" x14ac:dyDescent="0.25">
      <c r="A5" s="57" t="s">
        <v>897</v>
      </c>
      <c r="B5" s="160">
        <f>Revenue!$E$19</f>
        <v>214500</v>
      </c>
      <c r="C5" s="230">
        <f>Revenue!$F$19</f>
        <v>216500</v>
      </c>
      <c r="D5" s="240">
        <f>Revenue!G19</f>
        <v>221500</v>
      </c>
      <c r="E5" s="54">
        <f>Revenue!H19</f>
        <v>221500</v>
      </c>
      <c r="F5" s="54">
        <f>Revenue!I19</f>
        <v>0</v>
      </c>
      <c r="G5" s="236">
        <f t="shared" ref="G5:G12" si="0">(C5-B5)/B5</f>
        <v>9.324009324009324E-3</v>
      </c>
      <c r="H5" s="242">
        <f t="shared" ref="H5:H12" si="1">+(D5-B5)/B5</f>
        <v>3.2634032634032632E-2</v>
      </c>
      <c r="I5" s="87">
        <f t="shared" ref="I5:I12" si="2">+(E5-B5)/B5</f>
        <v>3.2634032634032632E-2</v>
      </c>
      <c r="J5" s="87">
        <f t="shared" ref="J5:J12" si="3">+(F5-B5)/B5</f>
        <v>-1</v>
      </c>
    </row>
    <row r="6" spans="1:14" x14ac:dyDescent="0.25">
      <c r="A6" s="57" t="s">
        <v>1436</v>
      </c>
      <c r="B6" s="160">
        <f>Revenue!$E$21</f>
        <v>15031668</v>
      </c>
      <c r="C6" s="230">
        <f>Revenue!$F$22</f>
        <v>15031668</v>
      </c>
      <c r="D6" s="240">
        <f>Revenue!G21</f>
        <v>15031668</v>
      </c>
      <c r="E6" s="54">
        <f>Revenue!H21</f>
        <v>15031668</v>
      </c>
      <c r="F6" s="54">
        <f>Revenue!I21</f>
        <v>0</v>
      </c>
      <c r="G6" s="236">
        <f t="shared" si="0"/>
        <v>0</v>
      </c>
      <c r="H6" s="242">
        <f t="shared" si="1"/>
        <v>0</v>
      </c>
      <c r="I6" s="87">
        <f t="shared" si="2"/>
        <v>0</v>
      </c>
      <c r="J6" s="87">
        <f t="shared" si="3"/>
        <v>-1</v>
      </c>
    </row>
    <row r="7" spans="1:14" x14ac:dyDescent="0.25">
      <c r="A7" s="57" t="s">
        <v>411</v>
      </c>
      <c r="B7" s="160">
        <f>Revenue!$E$38</f>
        <v>957286</v>
      </c>
      <c r="C7" s="230">
        <f>Revenue!$F$38</f>
        <v>2646326</v>
      </c>
      <c r="D7" s="240">
        <f>Revenue!G38</f>
        <v>1994286</v>
      </c>
      <c r="E7" s="54">
        <f>Revenue!H38</f>
        <v>1994286</v>
      </c>
      <c r="F7" s="54">
        <f>Revenue!I38</f>
        <v>0</v>
      </c>
      <c r="G7" s="236">
        <f t="shared" si="0"/>
        <v>1.764404786030507</v>
      </c>
      <c r="H7" s="242">
        <f t="shared" si="1"/>
        <v>1.0832708302429994</v>
      </c>
      <c r="I7" s="87">
        <f t="shared" si="2"/>
        <v>1.0832708302429994</v>
      </c>
      <c r="J7" s="87">
        <f t="shared" si="3"/>
        <v>-1</v>
      </c>
      <c r="N7" t="s">
        <v>31</v>
      </c>
    </row>
    <row r="8" spans="1:14" x14ac:dyDescent="0.25">
      <c r="A8" s="140" t="s">
        <v>428</v>
      </c>
      <c r="B8" s="160">
        <f>Revenue!$E$56</f>
        <v>1624000</v>
      </c>
      <c r="C8" s="230">
        <f>Revenue!$F$56</f>
        <v>1689000</v>
      </c>
      <c r="D8" s="240">
        <f>Revenue!G56</f>
        <v>1689000</v>
      </c>
      <c r="E8" s="54">
        <f>Revenue!H56</f>
        <v>1689000</v>
      </c>
      <c r="F8" s="54">
        <f>Revenue!I56</f>
        <v>0</v>
      </c>
      <c r="G8" s="236">
        <f t="shared" si="0"/>
        <v>4.0024630541871921E-2</v>
      </c>
      <c r="H8" s="242">
        <f t="shared" si="1"/>
        <v>4.0024630541871921E-2</v>
      </c>
      <c r="I8" s="87">
        <f t="shared" si="2"/>
        <v>4.0024630541871921E-2</v>
      </c>
      <c r="J8" s="87">
        <f t="shared" si="3"/>
        <v>-1</v>
      </c>
    </row>
    <row r="9" spans="1:14" x14ac:dyDescent="0.25">
      <c r="A9" s="140" t="s">
        <v>898</v>
      </c>
      <c r="B9" s="160">
        <f>Revenue!$E$62</f>
        <v>424000</v>
      </c>
      <c r="C9" s="230">
        <f>Revenue!$F$62</f>
        <v>174000</v>
      </c>
      <c r="D9" s="240">
        <f>Revenue!G62</f>
        <v>195600</v>
      </c>
      <c r="E9" s="54">
        <f>Revenue!H62</f>
        <v>195600</v>
      </c>
      <c r="F9" s="54">
        <f>Revenue!I62</f>
        <v>0</v>
      </c>
      <c r="G9" s="236">
        <f t="shared" si="0"/>
        <v>-0.589622641509434</v>
      </c>
      <c r="H9" s="242">
        <f t="shared" si="1"/>
        <v>-0.53867924528301891</v>
      </c>
      <c r="I9" s="87">
        <f t="shared" si="2"/>
        <v>-0.53867924528301891</v>
      </c>
      <c r="J9" s="87">
        <f t="shared" si="3"/>
        <v>-1</v>
      </c>
    </row>
    <row r="10" spans="1:14" x14ac:dyDescent="0.25">
      <c r="A10" s="140" t="s">
        <v>899</v>
      </c>
      <c r="B10" s="160">
        <f>Revenue!$E$68</f>
        <v>27200</v>
      </c>
      <c r="C10" s="230">
        <f>Revenue!$F$68</f>
        <v>27200</v>
      </c>
      <c r="D10" s="240">
        <f>Revenue!G68</f>
        <v>27200</v>
      </c>
      <c r="E10" s="54">
        <f>Revenue!H68</f>
        <v>27200</v>
      </c>
      <c r="F10" s="54">
        <f>Revenue!I68</f>
        <v>0</v>
      </c>
      <c r="G10" s="236">
        <f t="shared" si="0"/>
        <v>0</v>
      </c>
      <c r="H10" s="242">
        <f t="shared" si="1"/>
        <v>0</v>
      </c>
      <c r="I10" s="87">
        <f t="shared" si="2"/>
        <v>0</v>
      </c>
      <c r="J10" s="87">
        <f t="shared" si="3"/>
        <v>-1</v>
      </c>
    </row>
    <row r="11" spans="1:14" x14ac:dyDescent="0.25">
      <c r="A11" s="140" t="s">
        <v>900</v>
      </c>
      <c r="B11" s="160">
        <f>Revenue!$E$86</f>
        <v>452169</v>
      </c>
      <c r="C11" s="230">
        <f>Revenue!$F$86</f>
        <v>399500</v>
      </c>
      <c r="D11" s="240">
        <f>Revenue!G86</f>
        <v>424500</v>
      </c>
      <c r="E11" s="54">
        <f>Revenue!H86</f>
        <v>424500</v>
      </c>
      <c r="F11" s="54">
        <f>Revenue!I86</f>
        <v>0</v>
      </c>
      <c r="G11" s="236">
        <f t="shared" si="0"/>
        <v>-0.11648078483929682</v>
      </c>
      <c r="H11" s="242">
        <f t="shared" si="1"/>
        <v>-6.1191722563908625E-2</v>
      </c>
      <c r="I11" s="87">
        <f t="shared" si="2"/>
        <v>-6.1191722563908625E-2</v>
      </c>
      <c r="J11" s="87">
        <f t="shared" si="3"/>
        <v>-1</v>
      </c>
    </row>
    <row r="12" spans="1:14" x14ac:dyDescent="0.25">
      <c r="A12" s="140" t="s">
        <v>1281</v>
      </c>
      <c r="B12" s="160">
        <f>Revenue!$E$95</f>
        <v>775000</v>
      </c>
      <c r="C12" s="230">
        <f>Revenue!$F$95</f>
        <v>1055000</v>
      </c>
      <c r="D12" s="240">
        <f>Revenue!G95</f>
        <v>1260500</v>
      </c>
      <c r="E12" s="54">
        <f>Revenue!H95</f>
        <v>1260500</v>
      </c>
      <c r="F12" s="54">
        <f>Revenue!I95</f>
        <v>0</v>
      </c>
      <c r="G12" s="236">
        <f t="shared" si="0"/>
        <v>0.36129032258064514</v>
      </c>
      <c r="H12" s="242">
        <f t="shared" si="1"/>
        <v>0.62645161290322582</v>
      </c>
      <c r="I12" s="87">
        <f t="shared" si="2"/>
        <v>0.62645161290322582</v>
      </c>
      <c r="J12" s="87">
        <f t="shared" si="3"/>
        <v>-1</v>
      </c>
    </row>
    <row r="13" spans="1:14" x14ac:dyDescent="0.25">
      <c r="A13" s="140"/>
      <c r="B13" s="57"/>
      <c r="C13" s="229"/>
      <c r="D13" s="240"/>
      <c r="E13" s="57"/>
      <c r="F13" s="57"/>
      <c r="G13" s="236"/>
      <c r="H13" s="242"/>
    </row>
    <row r="14" spans="1:14" ht="16.5" x14ac:dyDescent="0.35">
      <c r="A14" s="57" t="s">
        <v>1277</v>
      </c>
      <c r="B14" s="159"/>
      <c r="C14" s="231"/>
      <c r="D14" s="245"/>
      <c r="E14" s="159"/>
      <c r="F14" s="159"/>
      <c r="G14" s="237"/>
      <c r="H14" s="242"/>
    </row>
    <row r="15" spans="1:14" ht="16.5" x14ac:dyDescent="0.35">
      <c r="A15" s="57" t="s">
        <v>1352</v>
      </c>
      <c r="B15" s="160">
        <f>Revenue!$E$4</f>
        <v>36728402.049139991</v>
      </c>
      <c r="C15" s="231"/>
      <c r="D15" s="245"/>
      <c r="E15" s="159"/>
      <c r="F15" s="159"/>
      <c r="G15" s="236"/>
      <c r="H15" s="242"/>
    </row>
    <row r="16" spans="1:14" ht="16.5" x14ac:dyDescent="0.35">
      <c r="A16" s="57"/>
      <c r="B16" s="57"/>
      <c r="C16" s="231"/>
      <c r="D16" s="245"/>
      <c r="E16" s="159"/>
      <c r="F16" s="159"/>
      <c r="G16" s="236"/>
      <c r="H16" s="242"/>
      <c r="N16" t="s">
        <v>31</v>
      </c>
    </row>
    <row r="17" spans="1:11" ht="16.5" x14ac:dyDescent="0.35">
      <c r="A17" s="57" t="s">
        <v>1277</v>
      </c>
      <c r="B17" s="57"/>
      <c r="C17" s="231"/>
      <c r="D17" s="245"/>
      <c r="E17" s="159"/>
      <c r="F17" s="159"/>
      <c r="G17" s="236"/>
      <c r="H17" s="242"/>
    </row>
    <row r="18" spans="1:11" x14ac:dyDescent="0.25">
      <c r="A18" s="57" t="s">
        <v>1374</v>
      </c>
      <c r="B18" s="57"/>
      <c r="C18" s="230">
        <f>'Property Tax'!$E$33</f>
        <v>36990318.245999999</v>
      </c>
      <c r="D18" s="240">
        <f>'Property Tax'!$E$33</f>
        <v>36990318.245999999</v>
      </c>
      <c r="E18" s="160">
        <f>'Property Tax'!$E$33</f>
        <v>36990318.245999999</v>
      </c>
      <c r="F18" s="160">
        <f>'Property Tax'!$E$33</f>
        <v>36990318.245999999</v>
      </c>
      <c r="G18" s="236">
        <f>+(C18-B15)/B15</f>
        <v>7.1311623225421752E-3</v>
      </c>
      <c r="H18" s="242">
        <f>+(D18-B15)/B15</f>
        <v>7.1311623225421752E-3</v>
      </c>
      <c r="I18" s="87">
        <f>+(E18-B15)/B15</f>
        <v>7.1311623225421752E-3</v>
      </c>
      <c r="J18" s="87">
        <f>+(F18-B15)/B15</f>
        <v>7.1311623225421752E-3</v>
      </c>
    </row>
    <row r="19" spans="1:11" ht="16.5" x14ac:dyDescent="0.35">
      <c r="A19" s="57"/>
      <c r="B19" s="57"/>
      <c r="C19" s="231"/>
      <c r="D19" s="245"/>
      <c r="E19" s="159"/>
      <c r="F19" s="159"/>
      <c r="G19" s="236"/>
      <c r="H19" s="242"/>
    </row>
    <row r="20" spans="1:11" ht="16.5" x14ac:dyDescent="0.35">
      <c r="A20" s="31" t="s">
        <v>1284</v>
      </c>
      <c r="B20" s="137">
        <f>SUM(B4:B15)</f>
        <v>57724225.049139991</v>
      </c>
      <c r="C20" s="232">
        <f>SUM(C4:C19)</f>
        <v>59489512.245999999</v>
      </c>
      <c r="D20" s="246">
        <f>SUM(D4:D18)</f>
        <v>59180972.245999999</v>
      </c>
      <c r="E20" s="137">
        <f t="shared" ref="E20:F20" si="4">SUM(E4:E19)</f>
        <v>59180972.245999999</v>
      </c>
      <c r="F20" s="137">
        <f t="shared" si="4"/>
        <v>36990318.245999999</v>
      </c>
      <c r="G20" s="238">
        <f>(C20-B20)/C20</f>
        <v>2.9673922851480492E-2</v>
      </c>
      <c r="H20" s="242">
        <f t="shared" ref="H20" si="5">+(D20-B20)/B20</f>
        <v>2.5236323148901441E-2</v>
      </c>
      <c r="I20" s="87">
        <f>+(E20-B20)/B20</f>
        <v>2.5236323148901441E-2</v>
      </c>
      <c r="J20" s="87">
        <f>+(F20-B20)/B20</f>
        <v>-0.359189002286119</v>
      </c>
    </row>
    <row r="21" spans="1:11" x14ac:dyDescent="0.25">
      <c r="A21" s="33"/>
      <c r="B21" s="33"/>
      <c r="C21" s="233"/>
      <c r="D21" s="247"/>
      <c r="E21" s="33"/>
      <c r="F21" s="33"/>
      <c r="G21" s="235"/>
      <c r="H21" s="242"/>
      <c r="K21" t="s">
        <v>1304</v>
      </c>
    </row>
    <row r="22" spans="1:11" x14ac:dyDescent="0.25">
      <c r="A22" s="136" t="s">
        <v>1285</v>
      </c>
      <c r="B22" s="33" t="s">
        <v>31</v>
      </c>
      <c r="C22" s="233" t="s">
        <v>31</v>
      </c>
      <c r="D22" s="247"/>
      <c r="E22" s="33"/>
      <c r="F22" s="33"/>
      <c r="G22" s="235" t="s">
        <v>31</v>
      </c>
      <c r="H22" s="243" t="s">
        <v>31</v>
      </c>
      <c r="I22" s="179" t="s">
        <v>1282</v>
      </c>
    </row>
    <row r="23" spans="1:11" x14ac:dyDescent="0.25">
      <c r="A23" s="57" t="s">
        <v>1286</v>
      </c>
      <c r="B23" s="160">
        <f>Expenses!$E$334</f>
        <v>15382344</v>
      </c>
      <c r="C23" s="230">
        <f>Expenses!$G$334</f>
        <v>16258937.949999999</v>
      </c>
      <c r="D23" s="240">
        <f>Expenses!H334</f>
        <v>15540357.949999999</v>
      </c>
      <c r="E23" s="160">
        <f>Expenses!I334</f>
        <v>15540357.949999999</v>
      </c>
      <c r="F23" s="160">
        <f>Expenses!J334</f>
        <v>0</v>
      </c>
      <c r="G23" s="236">
        <f>+(C23-B23)/B23</f>
        <v>5.6987020313679061E-2</v>
      </c>
      <c r="H23" s="242">
        <f>+(D23-B23)/B23</f>
        <v>1.0272423370586386E-2</v>
      </c>
      <c r="I23" s="87">
        <f>+(E23-B23)/B23</f>
        <v>1.0272423370586386E-2</v>
      </c>
      <c r="J23" s="87">
        <f>+(F23-B23)/B23</f>
        <v>-1</v>
      </c>
    </row>
    <row r="24" spans="1:11" x14ac:dyDescent="0.25">
      <c r="A24" s="57" t="s">
        <v>1291</v>
      </c>
      <c r="B24" s="160">
        <f>Expenses!$E$358</f>
        <v>6181832</v>
      </c>
      <c r="C24" s="230">
        <f>Expenses!$G$358</f>
        <v>6545510.1968735401</v>
      </c>
      <c r="D24" s="240">
        <f>Expenses!H358</f>
        <v>5934016.75086</v>
      </c>
      <c r="E24" s="160">
        <f>Expenses!I358</f>
        <v>5934016.75086</v>
      </c>
      <c r="F24" s="160">
        <f>Expenses!J358</f>
        <v>0</v>
      </c>
      <c r="G24" s="236">
        <f t="shared" ref="G24:G30" si="6">+(C24-B24)/B24</f>
        <v>5.8830165050350776E-2</v>
      </c>
      <c r="H24" s="242">
        <f t="shared" ref="H24:H30" si="7">+(D24-B24)/B24</f>
        <v>-4.0087671282558301E-2</v>
      </c>
      <c r="I24" s="87">
        <f t="shared" ref="I24:I30" si="8">+(E24-B24)/B24</f>
        <v>-4.0087671282558301E-2</v>
      </c>
      <c r="J24" s="87">
        <f t="shared" ref="J24:J30" si="9">+(F24-B24)/B24</f>
        <v>-1</v>
      </c>
    </row>
    <row r="25" spans="1:11" x14ac:dyDescent="0.25">
      <c r="A25" s="57" t="s">
        <v>1288</v>
      </c>
      <c r="B25" s="160">
        <f>Expenses!$E$366</f>
        <v>1065000</v>
      </c>
      <c r="C25" s="230">
        <f>Expenses!$G$366</f>
        <v>1060029</v>
      </c>
      <c r="D25" s="240">
        <f>Expenses!H366</f>
        <v>1050029</v>
      </c>
      <c r="E25" s="160">
        <f>Expenses!I366</f>
        <v>1050029</v>
      </c>
      <c r="F25" s="160">
        <f>Expenses!J366</f>
        <v>0</v>
      </c>
      <c r="G25" s="236">
        <f t="shared" si="6"/>
        <v>-4.6676056338028167E-3</v>
      </c>
      <c r="H25" s="242">
        <f t="shared" si="7"/>
        <v>-1.4057276995305165E-2</v>
      </c>
      <c r="I25" s="87">
        <f t="shared" si="8"/>
        <v>-1.4057276995305165E-2</v>
      </c>
      <c r="J25" s="87">
        <f t="shared" si="9"/>
        <v>-1</v>
      </c>
    </row>
    <row r="26" spans="1:11" x14ac:dyDescent="0.25">
      <c r="A26" s="57" t="s">
        <v>1275</v>
      </c>
      <c r="B26" s="160">
        <f>Expenses!$E$384</f>
        <v>493932</v>
      </c>
      <c r="C26" s="230">
        <f>Expenses!$G$384</f>
        <v>1017556</v>
      </c>
      <c r="D26" s="240">
        <f>Expenses!H384</f>
        <v>662356</v>
      </c>
      <c r="E26" s="160">
        <f>Expenses!I384</f>
        <v>662356</v>
      </c>
      <c r="F26" s="160">
        <f>Expenses!J384</f>
        <v>0</v>
      </c>
      <c r="G26" s="236">
        <f t="shared" si="6"/>
        <v>1.0601135378959048</v>
      </c>
      <c r="H26" s="242">
        <f t="shared" si="7"/>
        <v>0.34098620862790829</v>
      </c>
      <c r="I26" s="87">
        <f t="shared" si="8"/>
        <v>0.34098620862790829</v>
      </c>
      <c r="J26" s="87">
        <f t="shared" si="9"/>
        <v>-1</v>
      </c>
    </row>
    <row r="27" spans="1:11" x14ac:dyDescent="0.25">
      <c r="A27" s="57" t="s">
        <v>1287</v>
      </c>
      <c r="B27" s="160">
        <f>Expenses!$E$398</f>
        <v>365739</v>
      </c>
      <c r="C27" s="230">
        <f>Expenses!$G$398</f>
        <v>418300</v>
      </c>
      <c r="D27" s="240">
        <f>Expenses!H398</f>
        <v>389000</v>
      </c>
      <c r="E27" s="160">
        <f>Expenses!I398</f>
        <v>389000</v>
      </c>
      <c r="F27" s="160">
        <f>Expenses!J398</f>
        <v>0</v>
      </c>
      <c r="G27" s="236">
        <f t="shared" si="6"/>
        <v>0.14371177260286708</v>
      </c>
      <c r="H27" s="242">
        <f t="shared" si="7"/>
        <v>6.359999890632391E-2</v>
      </c>
      <c r="I27" s="87">
        <f t="shared" si="8"/>
        <v>6.359999890632391E-2</v>
      </c>
      <c r="J27" s="87">
        <f t="shared" si="9"/>
        <v>-1</v>
      </c>
    </row>
    <row r="28" spans="1:11" x14ac:dyDescent="0.25">
      <c r="A28" s="57" t="s">
        <v>1274</v>
      </c>
      <c r="B28" s="160">
        <f>Expenses!$E$415</f>
        <v>1743019</v>
      </c>
      <c r="C28" s="230">
        <f>Expenses!$G$415</f>
        <v>2058083</v>
      </c>
      <c r="D28" s="240">
        <f>Expenses!H415</f>
        <v>2058083</v>
      </c>
      <c r="E28" s="160">
        <f>Expenses!I415</f>
        <v>2058083</v>
      </c>
      <c r="F28" s="160">
        <f>Expenses!J415</f>
        <v>0</v>
      </c>
      <c r="G28" s="236">
        <f t="shared" si="6"/>
        <v>0.18075763947495696</v>
      </c>
      <c r="H28" s="242">
        <f t="shared" si="7"/>
        <v>0.18075763947495696</v>
      </c>
      <c r="I28" s="87">
        <f t="shared" si="8"/>
        <v>0.18075763947495696</v>
      </c>
      <c r="J28" s="87">
        <f t="shared" si="9"/>
        <v>-1</v>
      </c>
    </row>
    <row r="29" spans="1:11" x14ac:dyDescent="0.25">
      <c r="A29" s="57" t="s">
        <v>109</v>
      </c>
      <c r="B29" s="160">
        <f>Expenses!$E$419</f>
        <v>32492359</v>
      </c>
      <c r="C29" s="230">
        <f>Expenses!$G$419</f>
        <v>33547129</v>
      </c>
      <c r="D29" s="240">
        <f>Expenses!H419</f>
        <v>33547129.18</v>
      </c>
      <c r="E29" s="160">
        <f>Expenses!I419</f>
        <v>33547129.18</v>
      </c>
      <c r="F29" s="160">
        <f>Expenses!J419</f>
        <v>0</v>
      </c>
      <c r="G29" s="236">
        <f t="shared" si="6"/>
        <v>3.2462093626381514E-2</v>
      </c>
      <c r="H29" s="242">
        <f t="shared" si="7"/>
        <v>3.2462099166145481E-2</v>
      </c>
      <c r="I29" s="87">
        <f t="shared" si="8"/>
        <v>3.2462099166145481E-2</v>
      </c>
      <c r="J29" s="87">
        <f t="shared" si="9"/>
        <v>-1</v>
      </c>
    </row>
    <row r="30" spans="1:11" ht="16.5" x14ac:dyDescent="0.35">
      <c r="A30" s="31" t="s">
        <v>1323</v>
      </c>
      <c r="B30" s="137">
        <f>SUM(B23:B29)</f>
        <v>57724225</v>
      </c>
      <c r="C30" s="232">
        <f>SUM(C23:C29)</f>
        <v>60905545.146873541</v>
      </c>
      <c r="D30" s="246">
        <f t="shared" ref="D30:F30" si="10">SUM(D23:D29)</f>
        <v>59180971.880860001</v>
      </c>
      <c r="E30" s="137">
        <f t="shared" si="10"/>
        <v>59180971.880860001</v>
      </c>
      <c r="F30" s="137">
        <f t="shared" si="10"/>
        <v>0</v>
      </c>
      <c r="G30" s="239">
        <f t="shared" si="6"/>
        <v>5.5112392533178942E-2</v>
      </c>
      <c r="H30" s="252">
        <f t="shared" si="7"/>
        <v>2.5236317696079952E-2</v>
      </c>
      <c r="I30" s="253">
        <f t="shared" si="8"/>
        <v>2.5236317696079952E-2</v>
      </c>
      <c r="J30" s="253">
        <f t="shared" si="9"/>
        <v>-1</v>
      </c>
    </row>
    <row r="31" spans="1:11" x14ac:dyDescent="0.25">
      <c r="A31" s="33"/>
      <c r="B31" s="148"/>
      <c r="C31" s="149"/>
      <c r="D31" s="248"/>
      <c r="E31" s="149"/>
      <c r="F31" s="149"/>
      <c r="G31" s="138"/>
    </row>
    <row r="33" spans="2:6" x14ac:dyDescent="0.25">
      <c r="B33" s="162">
        <f>+B30-B20</f>
        <v>-4.9139991402626038E-2</v>
      </c>
      <c r="C33" s="162">
        <f t="shared" ref="C33:F33" si="11">+C30-C20</f>
        <v>1416032.9008735418</v>
      </c>
      <c r="D33" s="249">
        <f t="shared" si="11"/>
        <v>-0.36513999849557877</v>
      </c>
      <c r="E33" s="162">
        <f t="shared" si="11"/>
        <v>-0.36513999849557877</v>
      </c>
      <c r="F33" s="162">
        <f t="shared" si="11"/>
        <v>-36990318.245999999</v>
      </c>
    </row>
    <row r="35" spans="2:6" x14ac:dyDescent="0.25">
      <c r="E35" s="210" t="s">
        <v>1322</v>
      </c>
      <c r="F35" s="369">
        <f>'Debt Service'!$S$8</f>
        <v>2.9836600242975606E-2</v>
      </c>
    </row>
    <row r="36" spans="2:6" x14ac:dyDescent="0.25">
      <c r="E36" s="210" t="s">
        <v>1402</v>
      </c>
      <c r="F36" s="369">
        <f>'Fund Balance'!$F$33</f>
        <v>0.1036320886075127</v>
      </c>
    </row>
  </sheetData>
  <sheetProtection algorithmName="SHA-512" hashValue="E5WutdnoSmi1oScC3Od3gJ51AVBGMXdxbWLT01O18oH5zcPIWCwtcM25tp6rMJmRio6qOaIATTgJBB3Sk/Yh2Q==" saltValue="jUYjLZ9xxMOV08mE3JPtgw==" spinCount="100000" sheet="1" formatCells="0" formatColumns="0" formatRows="0" insertColumns="0" insertRows="0" insertHyperlinks="0" deleteColumns="0" deleteRows="0" sort="0" autoFilter="0" pivotTables="0"/>
  <mergeCells count="1">
    <mergeCell ref="A1:G1"/>
  </mergeCells>
  <pageMargins left="0.7" right="0.7" top="0.75" bottom="0.75" header="0.3" footer="0.3"/>
  <pageSetup scale="87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7AA2E-183C-49BB-AF87-F23D556C030B}">
  <dimension ref="A1:I77"/>
  <sheetViews>
    <sheetView topLeftCell="A7" workbookViewId="0">
      <selection activeCell="E26" sqref="E26"/>
    </sheetView>
  </sheetViews>
  <sheetFormatPr defaultRowHeight="15" x14ac:dyDescent="0.25"/>
  <cols>
    <col min="1" max="1" width="45.28515625" style="33" customWidth="1"/>
    <col min="2" max="2" width="1.5703125" style="33" customWidth="1"/>
    <col min="3" max="3" width="15.140625" style="142" customWidth="1"/>
    <col min="4" max="4" width="2.28515625" style="33" customWidth="1"/>
    <col min="5" max="5" width="14.7109375" style="142" customWidth="1"/>
    <col min="6" max="6" width="2.28515625" style="33" customWidth="1"/>
    <col min="7" max="7" width="11.7109375" style="179" customWidth="1"/>
    <col min="8" max="8" width="14.42578125" customWidth="1"/>
    <col min="9" max="9" width="16.28515625" bestFit="1" customWidth="1"/>
  </cols>
  <sheetData>
    <row r="1" spans="1:8" ht="2.25" customHeight="1" thickBot="1" x14ac:dyDescent="0.3">
      <c r="A1"/>
      <c r="B1"/>
      <c r="C1"/>
      <c r="D1"/>
      <c r="E1"/>
      <c r="F1"/>
      <c r="G1"/>
    </row>
    <row r="2" spans="1:8" ht="26.25" customHeight="1" thickBot="1" x14ac:dyDescent="0.3">
      <c r="A2" s="418" t="s">
        <v>1258</v>
      </c>
      <c r="B2" s="419"/>
      <c r="C2" s="419"/>
      <c r="D2" s="419"/>
      <c r="E2" s="419"/>
      <c r="F2" s="419"/>
      <c r="G2" s="317"/>
    </row>
    <row r="3" spans="1:8" ht="6" customHeight="1" x14ac:dyDescent="0.25">
      <c r="A3" s="318"/>
      <c r="B3" s="318"/>
      <c r="C3" s="318"/>
      <c r="D3" s="318"/>
      <c r="E3" s="318"/>
      <c r="F3" s="318"/>
      <c r="G3" s="319"/>
    </row>
    <row r="4" spans="1:8" ht="28.5" x14ac:dyDescent="0.35">
      <c r="A4" s="46"/>
      <c r="C4" s="323" t="s">
        <v>1394</v>
      </c>
      <c r="D4" s="115"/>
      <c r="E4" s="323" t="s">
        <v>1395</v>
      </c>
      <c r="F4" s="115"/>
      <c r="G4" s="324" t="s">
        <v>1393</v>
      </c>
    </row>
    <row r="5" spans="1:8" x14ac:dyDescent="0.25">
      <c r="A5" s="57" t="s">
        <v>1259</v>
      </c>
      <c r="B5" s="57"/>
      <c r="C5" s="320"/>
      <c r="D5" s="322"/>
      <c r="E5" s="320"/>
      <c r="F5" s="322"/>
      <c r="G5" s="321"/>
    </row>
    <row r="6" spans="1:8" x14ac:dyDescent="0.25">
      <c r="A6" s="60" t="s">
        <v>1260</v>
      </c>
      <c r="B6" s="57"/>
      <c r="C6" s="188">
        <v>102779050</v>
      </c>
      <c r="D6" s="190"/>
      <c r="E6" s="188">
        <v>108157760</v>
      </c>
      <c r="F6" s="190"/>
      <c r="G6" s="191">
        <f>(E6-C6)/C6</f>
        <v>5.233274680005312E-2</v>
      </c>
      <c r="H6" s="42"/>
    </row>
    <row r="7" spans="1:8" x14ac:dyDescent="0.25">
      <c r="A7" s="60" t="s">
        <v>1261</v>
      </c>
      <c r="B7" s="57"/>
      <c r="C7" s="188">
        <v>67945353</v>
      </c>
      <c r="D7" s="190"/>
      <c r="E7" s="188">
        <v>70888858</v>
      </c>
      <c r="F7" s="190"/>
      <c r="G7" s="191">
        <f t="shared" ref="G7:G9" si="0">(E7-C7)/C7</f>
        <v>4.3321652917161238E-2</v>
      </c>
      <c r="H7" s="116"/>
    </row>
    <row r="8" spans="1:8" ht="16.5" x14ac:dyDescent="0.35">
      <c r="A8" s="60" t="s">
        <v>1262</v>
      </c>
      <c r="B8" s="57"/>
      <c r="C8" s="192">
        <v>979630445</v>
      </c>
      <c r="D8" s="190"/>
      <c r="E8" s="192">
        <v>979460633</v>
      </c>
      <c r="F8" s="193"/>
      <c r="G8" s="191">
        <f t="shared" si="0"/>
        <v>-1.7334291810418366E-4</v>
      </c>
      <c r="H8" s="116"/>
    </row>
    <row r="9" spans="1:8" x14ac:dyDescent="0.25">
      <c r="A9" s="57" t="s">
        <v>1263</v>
      </c>
      <c r="B9" s="57"/>
      <c r="C9" s="160">
        <f>SUM(C6:C8)</f>
        <v>1150354848</v>
      </c>
      <c r="D9" s="194"/>
      <c r="E9" s="160">
        <f>SUM(E6:E8)</f>
        <v>1158507251</v>
      </c>
      <c r="F9" s="194"/>
      <c r="G9" s="191">
        <f t="shared" si="0"/>
        <v>7.086859340988321E-3</v>
      </c>
      <c r="H9" s="116"/>
    </row>
    <row r="10" spans="1:8" x14ac:dyDescent="0.25">
      <c r="A10" s="57" t="s">
        <v>1264</v>
      </c>
      <c r="B10" s="57"/>
      <c r="C10" s="188"/>
      <c r="D10" s="195"/>
      <c r="E10" s="188"/>
      <c r="F10" s="195"/>
      <c r="G10" s="191"/>
      <c r="H10" s="116"/>
    </row>
    <row r="11" spans="1:8" x14ac:dyDescent="0.25">
      <c r="A11" s="60" t="s">
        <v>1260</v>
      </c>
      <c r="B11" s="57"/>
      <c r="C11" s="188">
        <v>-2184530</v>
      </c>
      <c r="D11" s="195"/>
      <c r="E11" s="188">
        <v>-2320980</v>
      </c>
      <c r="F11" s="195"/>
      <c r="G11" s="191">
        <f t="shared" ref="G11:G14" si="1">(E11-C11)/C11</f>
        <v>6.2461948336713161E-2</v>
      </c>
      <c r="H11" s="116"/>
    </row>
    <row r="12" spans="1:8" x14ac:dyDescent="0.25">
      <c r="A12" s="60" t="s">
        <v>1261</v>
      </c>
      <c r="B12" s="57"/>
      <c r="C12" s="188">
        <v>-4940360</v>
      </c>
      <c r="D12" s="195"/>
      <c r="E12" s="188">
        <v>-10419731</v>
      </c>
      <c r="F12" s="195"/>
      <c r="G12" s="191">
        <f t="shared" si="1"/>
        <v>1.109103587592807</v>
      </c>
      <c r="H12" s="116"/>
    </row>
    <row r="13" spans="1:8" ht="16.5" x14ac:dyDescent="0.35">
      <c r="A13" s="60" t="s">
        <v>1262</v>
      </c>
      <c r="B13" s="57"/>
      <c r="C13" s="192">
        <v>-143563290</v>
      </c>
      <c r="D13" s="195"/>
      <c r="E13" s="192">
        <v>-144295040</v>
      </c>
      <c r="F13" s="196"/>
      <c r="G13" s="219">
        <f t="shared" si="1"/>
        <v>5.0970551037107046E-3</v>
      </c>
      <c r="H13" s="116"/>
    </row>
    <row r="14" spans="1:8" ht="16.5" x14ac:dyDescent="0.35">
      <c r="A14" s="57" t="s">
        <v>1263</v>
      </c>
      <c r="B14" s="57"/>
      <c r="C14" s="161">
        <f>SUM(C10:C13)</f>
        <v>-150688180</v>
      </c>
      <c r="D14" s="195"/>
      <c r="E14" s="197">
        <f>SUM(E10:E13)</f>
        <v>-157035751</v>
      </c>
      <c r="F14" s="196"/>
      <c r="G14" s="220">
        <f t="shared" si="1"/>
        <v>4.2123881249345504E-2</v>
      </c>
      <c r="H14" s="116"/>
    </row>
    <row r="15" spans="1:8" ht="9.75" customHeight="1" x14ac:dyDescent="0.25">
      <c r="A15" s="57"/>
      <c r="B15" s="57"/>
      <c r="C15" s="188"/>
      <c r="D15" s="195"/>
      <c r="E15" s="188"/>
      <c r="F15" s="195"/>
      <c r="G15" s="191"/>
      <c r="H15" s="116"/>
    </row>
    <row r="16" spans="1:8" x14ac:dyDescent="0.25">
      <c r="A16" s="57" t="s">
        <v>1265</v>
      </c>
      <c r="B16" s="57"/>
      <c r="C16" s="188"/>
      <c r="D16" s="195"/>
      <c r="E16" s="188"/>
      <c r="F16" s="195"/>
      <c r="G16" s="191"/>
      <c r="H16" s="116"/>
    </row>
    <row r="17" spans="1:9" x14ac:dyDescent="0.25">
      <c r="A17" s="60" t="s">
        <v>1260</v>
      </c>
      <c r="B17" s="57"/>
      <c r="C17" s="188">
        <f>+C6+C11</f>
        <v>100594520</v>
      </c>
      <c r="D17" s="195"/>
      <c r="E17" s="188">
        <f>+E6+E11</f>
        <v>105836780</v>
      </c>
      <c r="F17" s="195"/>
      <c r="G17" s="191">
        <f t="shared" ref="G17:G20" si="2">(E17-C17)/C17</f>
        <v>5.2112779105661027E-2</v>
      </c>
      <c r="H17" s="116"/>
    </row>
    <row r="18" spans="1:9" x14ac:dyDescent="0.25">
      <c r="A18" s="60" t="s">
        <v>1261</v>
      </c>
      <c r="B18" s="57"/>
      <c r="C18" s="188">
        <f>+C7+C12</f>
        <v>63004993</v>
      </c>
      <c r="D18" s="195"/>
      <c r="E18" s="188">
        <f>+E7+E12</f>
        <v>60469127</v>
      </c>
      <c r="F18" s="195"/>
      <c r="G18" s="191">
        <f t="shared" si="2"/>
        <v>-4.0248651404500589E-2</v>
      </c>
      <c r="H18" s="116"/>
    </row>
    <row r="19" spans="1:9" ht="16.5" x14ac:dyDescent="0.35">
      <c r="A19" s="60" t="s">
        <v>1262</v>
      </c>
      <c r="B19" s="57"/>
      <c r="C19" s="192">
        <f>+C13+C8</f>
        <v>836067155</v>
      </c>
      <c r="D19" s="195"/>
      <c r="E19" s="192">
        <f>+E13+E8</f>
        <v>835165593</v>
      </c>
      <c r="F19" s="196"/>
      <c r="G19" s="191">
        <f t="shared" si="2"/>
        <v>-1.0783368233141511E-3</v>
      </c>
      <c r="H19" s="116"/>
    </row>
    <row r="20" spans="1:9" ht="16.5" x14ac:dyDescent="0.35">
      <c r="A20" s="57" t="s">
        <v>1266</v>
      </c>
      <c r="B20" s="57"/>
      <c r="C20" s="197">
        <f>SUM(C17:C19)</f>
        <v>999666668</v>
      </c>
      <c r="D20" s="198"/>
      <c r="E20" s="197">
        <f>SUM(E17:E19)</f>
        <v>1001471500</v>
      </c>
      <c r="F20" s="198"/>
      <c r="G20" s="191">
        <f t="shared" si="2"/>
        <v>1.8054338088623757E-3</v>
      </c>
      <c r="H20" s="116"/>
    </row>
    <row r="21" spans="1:9" ht="16.5" x14ac:dyDescent="0.35">
      <c r="A21" s="57"/>
      <c r="B21" s="57"/>
      <c r="C21" s="188"/>
      <c r="D21" s="196"/>
      <c r="E21" s="188"/>
      <c r="F21" s="195"/>
      <c r="G21" s="191"/>
      <c r="H21" s="116"/>
    </row>
    <row r="22" spans="1:9" ht="16.5" x14ac:dyDescent="0.35">
      <c r="A22" s="57" t="s">
        <v>1268</v>
      </c>
      <c r="B22" s="57"/>
      <c r="C22" s="199">
        <v>0.97499999999999998</v>
      </c>
      <c r="D22" s="196"/>
      <c r="E22" s="191">
        <v>0.98</v>
      </c>
      <c r="F22" s="196"/>
      <c r="G22" s="191"/>
      <c r="H22" s="116"/>
    </row>
    <row r="23" spans="1:9" ht="16.5" x14ac:dyDescent="0.35">
      <c r="A23" s="57" t="s">
        <v>1289</v>
      </c>
      <c r="B23" s="57"/>
      <c r="C23" s="192">
        <f>+(C22*C20)</f>
        <v>974675001.29999995</v>
      </c>
      <c r="D23" s="196"/>
      <c r="E23" s="192">
        <f>+(E22*E20)</f>
        <v>981442070</v>
      </c>
      <c r="F23" s="196"/>
      <c r="G23" s="191">
        <f>+(E23-C23)/C23</f>
        <v>6.9428975719847963E-3</v>
      </c>
      <c r="H23" s="116"/>
      <c r="I23" s="27"/>
    </row>
    <row r="24" spans="1:9" ht="16.5" x14ac:dyDescent="0.35">
      <c r="A24" s="57"/>
      <c r="B24" s="57"/>
      <c r="C24" s="192"/>
      <c r="D24" s="196"/>
      <c r="E24" s="192"/>
      <c r="F24" s="196"/>
      <c r="G24" s="191"/>
      <c r="H24" s="116"/>
    </row>
    <row r="25" spans="1:9" ht="16.5" x14ac:dyDescent="0.35">
      <c r="A25" s="57" t="s">
        <v>1272</v>
      </c>
      <c r="B25" s="57"/>
      <c r="C25" s="200">
        <v>37.799999999999997</v>
      </c>
      <c r="D25" s="196"/>
      <c r="E25" s="200">
        <v>37.799999999999997</v>
      </c>
      <c r="F25" s="196"/>
      <c r="G25" s="191"/>
      <c r="H25" s="116"/>
    </row>
    <row r="26" spans="1:9" ht="16.5" x14ac:dyDescent="0.35">
      <c r="A26" s="57"/>
      <c r="B26" s="57"/>
      <c r="C26" s="192">
        <f>+C23*C25/1000</f>
        <v>36842715.049139991</v>
      </c>
      <c r="D26" s="196"/>
      <c r="E26" s="192">
        <f>+E23*E25/1000</f>
        <v>37098510.245999999</v>
      </c>
      <c r="F26" s="196"/>
      <c r="G26" s="191">
        <f t="shared" ref="G26" si="3">(E26-C26)/C26</f>
        <v>6.9428975719849637E-3</v>
      </c>
      <c r="H26" s="116"/>
    </row>
    <row r="27" spans="1:9" ht="16.5" x14ac:dyDescent="0.35">
      <c r="A27" s="57"/>
      <c r="B27" s="57"/>
      <c r="C27" s="161"/>
      <c r="D27" s="196"/>
      <c r="E27" s="161"/>
      <c r="F27" s="196"/>
      <c r="G27" s="220"/>
    </row>
    <row r="28" spans="1:9" x14ac:dyDescent="0.25">
      <c r="A28" s="57" t="s">
        <v>1267</v>
      </c>
      <c r="B28" s="57"/>
      <c r="C28" s="160"/>
      <c r="D28" s="195"/>
      <c r="E28" s="160"/>
      <c r="F28" s="195"/>
      <c r="G28" s="199"/>
    </row>
    <row r="29" spans="1:9" x14ac:dyDescent="0.25">
      <c r="A29" s="57" t="s">
        <v>1366</v>
      </c>
      <c r="B29" s="57"/>
      <c r="C29" s="160">
        <v>0</v>
      </c>
      <c r="D29" s="194"/>
      <c r="E29" s="160">
        <v>-224</v>
      </c>
      <c r="F29" s="194"/>
      <c r="G29" s="199"/>
    </row>
    <row r="30" spans="1:9" ht="16.5" x14ac:dyDescent="0.35">
      <c r="A30" s="57" t="s">
        <v>1269</v>
      </c>
      <c r="B30" s="201"/>
      <c r="C30" s="161">
        <v>-114313</v>
      </c>
      <c r="D30" s="189"/>
      <c r="E30" s="161">
        <v>-107968</v>
      </c>
      <c r="F30" s="189"/>
      <c r="G30" s="199"/>
    </row>
    <row r="31" spans="1:9" ht="16.5" x14ac:dyDescent="0.35">
      <c r="A31" s="57" t="s">
        <v>1270</v>
      </c>
      <c r="B31" s="201"/>
      <c r="C31" s="161">
        <f>SUM(C29:C30)</f>
        <v>-114313</v>
      </c>
      <c r="D31" s="189"/>
      <c r="E31" s="161">
        <f>SUM(E29:E30)</f>
        <v>-108192</v>
      </c>
      <c r="F31" s="189"/>
      <c r="G31" s="199"/>
    </row>
    <row r="32" spans="1:9" x14ac:dyDescent="0.25">
      <c r="A32" s="57"/>
      <c r="B32" s="201"/>
      <c r="C32" s="188"/>
      <c r="D32" s="189"/>
      <c r="E32" s="188"/>
      <c r="F32" s="202"/>
      <c r="G32" s="191"/>
    </row>
    <row r="33" spans="1:9" ht="16.5" x14ac:dyDescent="0.35">
      <c r="A33" s="57" t="s">
        <v>1271</v>
      </c>
      <c r="B33" s="201"/>
      <c r="C33" s="197">
        <f>+C26+C31</f>
        <v>36728402.049139991</v>
      </c>
      <c r="D33" s="189"/>
      <c r="E33" s="197">
        <f>+E26+E31</f>
        <v>36990318.245999999</v>
      </c>
      <c r="F33" s="189"/>
      <c r="G33" s="199">
        <f>(E33-C33)/C33</f>
        <v>7.1311623225421752E-3</v>
      </c>
      <c r="I33" s="27"/>
    </row>
    <row r="34" spans="1:9" x14ac:dyDescent="0.25">
      <c r="B34" s="119"/>
      <c r="D34" s="119"/>
      <c r="F34" s="119"/>
    </row>
    <row r="35" spans="1:9" x14ac:dyDescent="0.25">
      <c r="B35" s="119"/>
      <c r="D35" s="119"/>
      <c r="F35" s="119"/>
    </row>
    <row r="36" spans="1:9" x14ac:dyDescent="0.25">
      <c r="B36" s="121"/>
      <c r="C36" s="120"/>
      <c r="D36" s="121"/>
      <c r="E36" s="120"/>
      <c r="F36" s="121"/>
      <c r="G36" s="121"/>
    </row>
    <row r="37" spans="1:9" x14ac:dyDescent="0.25">
      <c r="B37" s="121"/>
      <c r="C37" s="120"/>
      <c r="D37" s="122"/>
      <c r="E37" s="120"/>
      <c r="F37" s="122"/>
      <c r="G37" s="121"/>
    </row>
    <row r="38" spans="1:9" x14ac:dyDescent="0.25">
      <c r="B38" s="121"/>
      <c r="C38" s="120"/>
      <c r="D38" s="123"/>
      <c r="E38" s="120"/>
      <c r="F38" s="123"/>
      <c r="G38" s="121"/>
    </row>
    <row r="39" spans="1:9" x14ac:dyDescent="0.25">
      <c r="B39" s="121"/>
      <c r="C39" s="143"/>
      <c r="D39" s="124"/>
      <c r="E39" s="143"/>
      <c r="F39" s="124"/>
      <c r="G39" s="221"/>
    </row>
    <row r="40" spans="1:9" ht="16.5" x14ac:dyDescent="0.35">
      <c r="B40" s="121"/>
      <c r="C40" s="134"/>
      <c r="D40" s="117"/>
      <c r="E40" s="134"/>
      <c r="F40" s="117"/>
      <c r="G40" s="222"/>
    </row>
    <row r="41" spans="1:9" x14ac:dyDescent="0.25">
      <c r="B41" s="121"/>
      <c r="C41" s="120"/>
      <c r="D41" s="123"/>
      <c r="E41" s="120"/>
      <c r="F41" s="123"/>
      <c r="G41" s="121"/>
    </row>
    <row r="42" spans="1:9" ht="16.5" x14ac:dyDescent="0.35">
      <c r="B42" s="121"/>
      <c r="C42" s="118"/>
      <c r="D42" s="118"/>
      <c r="E42" s="118"/>
      <c r="F42" s="118"/>
      <c r="G42" s="223"/>
    </row>
    <row r="43" spans="1:9" x14ac:dyDescent="0.25">
      <c r="B43" s="121"/>
      <c r="C43" s="120"/>
      <c r="D43" s="121"/>
      <c r="E43" s="120"/>
      <c r="F43" s="121"/>
      <c r="G43" s="121"/>
    </row>
    <row r="44" spans="1:9" x14ac:dyDescent="0.25">
      <c r="B44" s="120"/>
      <c r="C44" s="120"/>
      <c r="D44" s="120"/>
      <c r="E44" s="120"/>
      <c r="F44" s="120"/>
      <c r="G44" s="121"/>
    </row>
    <row r="45" spans="1:9" x14ac:dyDescent="0.25">
      <c r="B45" s="122"/>
      <c r="C45" s="120"/>
      <c r="D45" s="122"/>
      <c r="E45" s="120"/>
      <c r="F45" s="122"/>
      <c r="G45" s="121"/>
    </row>
    <row r="46" spans="1:9" ht="16.5" x14ac:dyDescent="0.35">
      <c r="B46" s="125"/>
      <c r="C46" s="144"/>
      <c r="D46" s="125"/>
      <c r="E46" s="144"/>
      <c r="F46" s="125"/>
      <c r="G46" s="224"/>
    </row>
    <row r="47" spans="1:9" ht="16.5" x14ac:dyDescent="0.35">
      <c r="B47" s="126"/>
      <c r="C47" s="126"/>
      <c r="D47" s="126"/>
      <c r="E47" s="126"/>
      <c r="F47" s="126"/>
      <c r="G47" s="139"/>
    </row>
    <row r="49" spans="1:7" x14ac:dyDescent="0.25">
      <c r="A49" s="127"/>
    </row>
    <row r="50" spans="1:7" x14ac:dyDescent="0.25">
      <c r="B50" s="120"/>
      <c r="C50" s="120"/>
      <c r="D50" s="120"/>
      <c r="E50" s="120"/>
      <c r="F50" s="120"/>
      <c r="G50" s="121"/>
    </row>
    <row r="53" spans="1:7" ht="16.5" x14ac:dyDescent="0.35">
      <c r="B53" s="117"/>
      <c r="C53" s="134"/>
      <c r="D53" s="117"/>
      <c r="E53" s="134"/>
      <c r="F53" s="117"/>
      <c r="G53" s="222"/>
    </row>
    <row r="55" spans="1:7" ht="16.5" x14ac:dyDescent="0.35">
      <c r="B55" s="125"/>
      <c r="C55" s="144"/>
      <c r="D55" s="125"/>
      <c r="E55" s="144"/>
      <c r="F55" s="125"/>
      <c r="G55" s="224"/>
    </row>
    <row r="56" spans="1:7" ht="16.5" x14ac:dyDescent="0.35">
      <c r="B56" s="118"/>
      <c r="C56" s="118"/>
      <c r="D56" s="118"/>
      <c r="E56" s="118"/>
      <c r="F56" s="118"/>
      <c r="G56" s="223"/>
    </row>
    <row r="59" spans="1:7" ht="16.5" x14ac:dyDescent="0.35">
      <c r="B59" s="125"/>
      <c r="C59" s="144"/>
      <c r="D59" s="125"/>
      <c r="E59" s="144"/>
      <c r="F59" s="125"/>
      <c r="G59" s="224"/>
    </row>
    <row r="60" spans="1:7" ht="16.5" x14ac:dyDescent="0.35">
      <c r="B60" s="128"/>
      <c r="C60" s="128"/>
      <c r="D60" s="128"/>
      <c r="E60" s="128"/>
      <c r="F60" s="128"/>
      <c r="G60" s="225"/>
    </row>
    <row r="62" spans="1:7" x14ac:dyDescent="0.25">
      <c r="A62" s="44"/>
      <c r="C62" s="145"/>
      <c r="D62" s="31"/>
      <c r="E62" s="145"/>
      <c r="F62" s="31"/>
      <c r="G62" s="226"/>
    </row>
    <row r="64" spans="1:7" x14ac:dyDescent="0.25">
      <c r="A64" s="44"/>
      <c r="C64" s="145"/>
      <c r="D64" s="31"/>
      <c r="E64" s="145"/>
      <c r="F64" s="31"/>
      <c r="G64" s="226"/>
    </row>
    <row r="68" spans="3:7" ht="16.5" x14ac:dyDescent="0.35">
      <c r="E68" s="144"/>
      <c r="F68" s="125"/>
      <c r="G68" s="224"/>
    </row>
    <row r="70" spans="3:7" ht="16.5" x14ac:dyDescent="0.35">
      <c r="C70" s="146"/>
      <c r="D70" s="129"/>
      <c r="E70" s="147"/>
      <c r="F70" s="130"/>
      <c r="G70" s="227"/>
    </row>
    <row r="71" spans="3:7" ht="16.5" x14ac:dyDescent="0.35">
      <c r="C71" s="144"/>
      <c r="D71" s="131"/>
      <c r="F71" s="132"/>
    </row>
    <row r="72" spans="3:7" x14ac:dyDescent="0.25">
      <c r="D72" s="132"/>
      <c r="F72" s="132"/>
    </row>
    <row r="74" spans="3:7" x14ac:dyDescent="0.25">
      <c r="D74" s="133"/>
      <c r="F74" s="133"/>
    </row>
    <row r="77" spans="3:7" x14ac:dyDescent="0.25">
      <c r="D77" s="119"/>
      <c r="F77" s="119"/>
    </row>
  </sheetData>
  <sheetProtection algorithmName="SHA-512" hashValue="gtuFkkAMJ6iKoUIcWv4g6pYcU1RMHgEfQfi2cPZ+rknuWHvg2QSK2mrnKB8mYgphM9zcznjmi9oK3t7rElB6ng==" saltValue="AvRa3BO4MW2FlknS4WP2eQ==" spinCount="100000" sheet="1" formatCells="0" formatColumns="0" formatRows="0" insertColumns="0" insertRows="0" insertHyperlinks="0" deleteColumns="0" deleteRows="0" sort="0" autoFilter="0" pivotTables="0"/>
  <mergeCells count="1">
    <mergeCell ref="A2:F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784E8-7637-4E76-AB30-CB7B692D602A}">
  <sheetPr>
    <pageSetUpPr fitToPage="1"/>
  </sheetPr>
  <dimension ref="A1:F36"/>
  <sheetViews>
    <sheetView topLeftCell="A7" workbookViewId="0">
      <selection activeCell="L37" sqref="L37"/>
    </sheetView>
  </sheetViews>
  <sheetFormatPr defaultRowHeight="15" x14ac:dyDescent="0.25"/>
  <cols>
    <col min="1" max="1" width="50.85546875" customWidth="1"/>
    <col min="2" max="2" width="3.140625" customWidth="1"/>
    <col min="3" max="3" width="15.85546875" customWidth="1"/>
    <col min="4" max="4" width="17" customWidth="1"/>
    <col min="5" max="5" width="17.5703125" customWidth="1"/>
  </cols>
  <sheetData>
    <row r="1" spans="1:6" ht="31.5" customHeight="1" x14ac:dyDescent="0.55000000000000004">
      <c r="A1" s="416" t="s">
        <v>1305</v>
      </c>
      <c r="B1" s="416"/>
      <c r="C1" s="416"/>
      <c r="D1" s="416"/>
      <c r="E1" s="416"/>
      <c r="F1" s="186"/>
    </row>
    <row r="2" spans="1:6" ht="41.25" customHeight="1" x14ac:dyDescent="0.35">
      <c r="A2" s="30"/>
      <c r="B2" s="184"/>
      <c r="C2" s="185" t="s">
        <v>1390</v>
      </c>
      <c r="D2" s="185" t="s">
        <v>1391</v>
      </c>
      <c r="E2" s="185" t="s">
        <v>1392</v>
      </c>
      <c r="F2" s="187"/>
    </row>
    <row r="3" spans="1:6" ht="16.5" x14ac:dyDescent="0.35">
      <c r="A3" s="46" t="s">
        <v>1428</v>
      </c>
      <c r="B3" s="33"/>
      <c r="C3" s="184"/>
      <c r="D3" s="184"/>
      <c r="E3" s="184"/>
      <c r="F3" s="187"/>
    </row>
    <row r="4" spans="1:6" x14ac:dyDescent="0.25">
      <c r="A4" s="57" t="s">
        <v>402</v>
      </c>
      <c r="B4" s="57"/>
      <c r="C4" s="54">
        <f>'Budget Summary'!B4</f>
        <v>1490000</v>
      </c>
      <c r="D4" s="54">
        <v>1490000</v>
      </c>
      <c r="E4" s="203">
        <f t="shared" ref="E4:E14" si="0">D4-C4</f>
        <v>0</v>
      </c>
      <c r="F4" s="187"/>
    </row>
    <row r="5" spans="1:6" x14ac:dyDescent="0.25">
      <c r="A5" s="53" t="s">
        <v>897</v>
      </c>
      <c r="B5" s="57"/>
      <c r="C5" s="54">
        <f>'Budget Summary'!B5</f>
        <v>214500</v>
      </c>
      <c r="D5" s="54">
        <v>214500</v>
      </c>
      <c r="E5" s="62">
        <f t="shared" si="0"/>
        <v>0</v>
      </c>
      <c r="F5" s="187"/>
    </row>
    <row r="6" spans="1:6" x14ac:dyDescent="0.25">
      <c r="A6" s="53" t="s">
        <v>1280</v>
      </c>
      <c r="B6" s="57"/>
      <c r="C6" s="54">
        <f>'Budget Summary'!B6</f>
        <v>15031668</v>
      </c>
      <c r="D6" s="54">
        <v>15031668</v>
      </c>
      <c r="E6" s="62">
        <f t="shared" si="0"/>
        <v>0</v>
      </c>
      <c r="F6" s="187"/>
    </row>
    <row r="7" spans="1:6" x14ac:dyDescent="0.25">
      <c r="A7" s="53" t="s">
        <v>411</v>
      </c>
      <c r="B7" s="57"/>
      <c r="C7" s="54">
        <f>'Budget Summary'!B7</f>
        <v>957286</v>
      </c>
      <c r="D7" s="54">
        <v>957286</v>
      </c>
      <c r="E7" s="62">
        <f t="shared" si="0"/>
        <v>0</v>
      </c>
      <c r="F7" s="187"/>
    </row>
    <row r="8" spans="1:6" x14ac:dyDescent="0.25">
      <c r="A8" s="140" t="s">
        <v>1308</v>
      </c>
      <c r="B8" s="57"/>
      <c r="C8" s="54">
        <f>'Budget Summary'!B8</f>
        <v>1624000</v>
      </c>
      <c r="D8" s="54">
        <v>1624000</v>
      </c>
      <c r="E8" s="62">
        <f t="shared" si="0"/>
        <v>0</v>
      </c>
      <c r="F8" s="187"/>
    </row>
    <row r="9" spans="1:6" x14ac:dyDescent="0.25">
      <c r="A9" s="140" t="s">
        <v>1309</v>
      </c>
      <c r="B9" s="57"/>
      <c r="C9" s="54">
        <f>'Budget Summary'!B9</f>
        <v>424000</v>
      </c>
      <c r="D9" s="54">
        <v>424000</v>
      </c>
      <c r="E9" s="62">
        <f t="shared" si="0"/>
        <v>0</v>
      </c>
      <c r="F9" s="187"/>
    </row>
    <row r="10" spans="1:6" x14ac:dyDescent="0.25">
      <c r="A10" s="140" t="s">
        <v>1310</v>
      </c>
      <c r="B10" s="57"/>
      <c r="C10" s="54">
        <f>'Budget Summary'!B10</f>
        <v>27200</v>
      </c>
      <c r="D10" s="54">
        <v>27200</v>
      </c>
      <c r="E10" s="62">
        <f t="shared" si="0"/>
        <v>0</v>
      </c>
      <c r="F10" s="187"/>
    </row>
    <row r="11" spans="1:6" x14ac:dyDescent="0.25">
      <c r="A11" s="140" t="s">
        <v>1311</v>
      </c>
      <c r="B11" s="57"/>
      <c r="C11" s="54">
        <f>'Budget Summary'!B11</f>
        <v>452169</v>
      </c>
      <c r="D11" s="54">
        <v>452169</v>
      </c>
      <c r="E11" s="62">
        <f t="shared" si="0"/>
        <v>0</v>
      </c>
      <c r="F11" s="187"/>
    </row>
    <row r="12" spans="1:6" x14ac:dyDescent="0.25">
      <c r="A12" s="140" t="s">
        <v>1312</v>
      </c>
      <c r="B12" s="57"/>
      <c r="C12" s="54">
        <f>'Budget Summary'!B12</f>
        <v>775000</v>
      </c>
      <c r="D12" s="54">
        <v>775000</v>
      </c>
      <c r="E12" s="62">
        <f t="shared" si="0"/>
        <v>0</v>
      </c>
      <c r="F12" s="187"/>
    </row>
    <row r="13" spans="1:6" ht="16.5" x14ac:dyDescent="0.35">
      <c r="A13" s="53" t="s">
        <v>1278</v>
      </c>
      <c r="B13" s="57"/>
      <c r="C13" s="278">
        <f>'Budget Summary'!$B$15</f>
        <v>36728402.049139991</v>
      </c>
      <c r="D13" s="278">
        <v>36728402.33789999</v>
      </c>
      <c r="E13" s="204">
        <f t="shared" si="0"/>
        <v>0.2887599989771843</v>
      </c>
      <c r="F13" s="187"/>
    </row>
    <row r="14" spans="1:6" x14ac:dyDescent="0.25">
      <c r="A14" s="52" t="s">
        <v>1432</v>
      </c>
      <c r="B14" s="158"/>
      <c r="C14" s="279">
        <f>SUM(C4:C13)</f>
        <v>57724225.049139991</v>
      </c>
      <c r="D14" s="279">
        <f>SUM(D4:D13)</f>
        <v>57724225.33789999</v>
      </c>
      <c r="E14" s="205">
        <f t="shared" si="0"/>
        <v>0.2887599989771843</v>
      </c>
      <c r="F14" s="187"/>
    </row>
    <row r="15" spans="1:6" x14ac:dyDescent="0.25">
      <c r="A15" s="33"/>
      <c r="B15" s="33"/>
      <c r="C15" s="33"/>
      <c r="D15" s="33"/>
      <c r="E15" s="44" t="s">
        <v>31</v>
      </c>
      <c r="F15" s="187"/>
    </row>
    <row r="16" spans="1:6" ht="16.5" x14ac:dyDescent="0.35">
      <c r="A16" s="46" t="s">
        <v>1429</v>
      </c>
      <c r="B16" s="33"/>
      <c r="C16" s="33"/>
      <c r="D16" s="33"/>
      <c r="E16" s="36" t="s">
        <v>31</v>
      </c>
      <c r="F16" s="187"/>
    </row>
    <row r="17" spans="1:6" x14ac:dyDescent="0.25">
      <c r="A17" s="57" t="s">
        <v>1286</v>
      </c>
      <c r="B17" s="62"/>
      <c r="C17" s="280">
        <f>'Budget Summary'!B23</f>
        <v>15382344</v>
      </c>
      <c r="D17" s="280">
        <v>15382344</v>
      </c>
      <c r="E17" s="203">
        <f>+C17-D17</f>
        <v>0</v>
      </c>
      <c r="F17" s="187"/>
    </row>
    <row r="18" spans="1:6" x14ac:dyDescent="0.25">
      <c r="A18" s="57" t="s">
        <v>1292</v>
      </c>
      <c r="B18" s="62"/>
      <c r="C18" s="280">
        <f>'Budget Summary'!B24</f>
        <v>6181832</v>
      </c>
      <c r="D18" s="280">
        <v>6181832</v>
      </c>
      <c r="E18" s="62">
        <f t="shared" ref="E18:E23" si="1">-D18+C18</f>
        <v>0</v>
      </c>
      <c r="F18" s="187"/>
    </row>
    <row r="19" spans="1:6" x14ac:dyDescent="0.25">
      <c r="A19" s="57" t="s">
        <v>1288</v>
      </c>
      <c r="B19" s="62"/>
      <c r="C19" s="280">
        <f>'Budget Summary'!B25</f>
        <v>1065000</v>
      </c>
      <c r="D19" s="280">
        <v>1065000</v>
      </c>
      <c r="E19" s="62">
        <f t="shared" si="1"/>
        <v>0</v>
      </c>
      <c r="F19" s="187"/>
    </row>
    <row r="20" spans="1:6" x14ac:dyDescent="0.25">
      <c r="A20" s="57" t="s">
        <v>1275</v>
      </c>
      <c r="B20" s="62"/>
      <c r="C20" s="280">
        <f>'Budget Summary'!B26</f>
        <v>493932</v>
      </c>
      <c r="D20" s="280">
        <v>493932</v>
      </c>
      <c r="E20" s="62">
        <f t="shared" si="1"/>
        <v>0</v>
      </c>
      <c r="F20" s="187"/>
    </row>
    <row r="21" spans="1:6" x14ac:dyDescent="0.25">
      <c r="A21" s="57" t="s">
        <v>1287</v>
      </c>
      <c r="B21" s="62"/>
      <c r="C21" s="280">
        <f>'Budget Summary'!B27</f>
        <v>365739</v>
      </c>
      <c r="D21" s="280">
        <v>365739</v>
      </c>
      <c r="E21" s="62">
        <f t="shared" si="1"/>
        <v>0</v>
      </c>
      <c r="F21" s="187"/>
    </row>
    <row r="22" spans="1:6" x14ac:dyDescent="0.25">
      <c r="A22" s="57" t="s">
        <v>1274</v>
      </c>
      <c r="B22" s="62"/>
      <c r="C22" s="280">
        <f>'Budget Summary'!B28</f>
        <v>1743019</v>
      </c>
      <c r="D22" s="280">
        <v>1743019</v>
      </c>
      <c r="E22" s="62">
        <f t="shared" si="1"/>
        <v>0</v>
      </c>
      <c r="F22" s="187"/>
    </row>
    <row r="23" spans="1:6" ht="16.5" x14ac:dyDescent="0.35">
      <c r="A23" s="57" t="s">
        <v>109</v>
      </c>
      <c r="B23" s="62"/>
      <c r="C23" s="281">
        <f>'Budget Summary'!B29</f>
        <v>32492359</v>
      </c>
      <c r="D23" s="281">
        <v>32492359</v>
      </c>
      <c r="E23" s="204">
        <f t="shared" si="1"/>
        <v>0</v>
      </c>
      <c r="F23" s="187"/>
    </row>
    <row r="24" spans="1:6" x14ac:dyDescent="0.25">
      <c r="A24" s="52" t="s">
        <v>1324</v>
      </c>
      <c r="B24" s="52"/>
      <c r="C24" s="279">
        <f>SUM(C17:C23)</f>
        <v>57724225</v>
      </c>
      <c r="D24" s="279">
        <f t="shared" ref="D24:E24" si="2">SUM(D17:D23)</f>
        <v>57724225</v>
      </c>
      <c r="E24" s="205">
        <f t="shared" si="2"/>
        <v>0</v>
      </c>
      <c r="F24" s="187"/>
    </row>
    <row r="25" spans="1:6" x14ac:dyDescent="0.25">
      <c r="A25" s="57"/>
      <c r="B25" s="57"/>
      <c r="C25" s="57"/>
      <c r="D25" s="57"/>
      <c r="E25" s="57"/>
      <c r="F25" s="187"/>
    </row>
    <row r="26" spans="1:6" ht="16.5" x14ac:dyDescent="0.35">
      <c r="A26" s="52" t="s">
        <v>1306</v>
      </c>
      <c r="B26" s="57"/>
      <c r="C26" s="206">
        <f>C14-C24</f>
        <v>4.9139991402626038E-2</v>
      </c>
      <c r="D26" s="206">
        <f>D14-D24</f>
        <v>0.33789999037981033</v>
      </c>
      <c r="E26" s="206">
        <f>+E14+E24</f>
        <v>0.2887599989771843</v>
      </c>
      <c r="F26" s="187"/>
    </row>
    <row r="27" spans="1:6" x14ac:dyDescent="0.25">
      <c r="A27" s="31"/>
      <c r="B27" s="33"/>
      <c r="C27" s="33"/>
      <c r="D27" s="31"/>
      <c r="E27" s="31"/>
      <c r="F27" s="187"/>
    </row>
    <row r="28" spans="1:6" x14ac:dyDescent="0.25">
      <c r="A28" s="375" t="s">
        <v>1398</v>
      </c>
      <c r="B28" s="376"/>
      <c r="C28" s="376"/>
      <c r="D28" s="376"/>
      <c r="E28" s="377">
        <v>6607082</v>
      </c>
      <c r="F28" s="378">
        <f>+E28/C24</f>
        <v>0.11445943189362871</v>
      </c>
    </row>
    <row r="29" spans="1:6" x14ac:dyDescent="0.25">
      <c r="A29" s="57" t="s">
        <v>1399</v>
      </c>
      <c r="B29" s="52"/>
      <c r="C29" s="52"/>
      <c r="D29" s="52"/>
      <c r="E29" s="207">
        <v>-1883966</v>
      </c>
      <c r="F29" s="187"/>
    </row>
    <row r="30" spans="1:6" x14ac:dyDescent="0.25">
      <c r="A30" s="57" t="s">
        <v>1400</v>
      </c>
      <c r="B30" s="52"/>
      <c r="C30" s="52"/>
      <c r="D30" s="52"/>
      <c r="E30" s="207">
        <v>0</v>
      </c>
      <c r="F30" s="187"/>
    </row>
    <row r="31" spans="1:6" x14ac:dyDescent="0.25">
      <c r="A31" s="57" t="s">
        <v>1307</v>
      </c>
      <c r="B31" s="52"/>
      <c r="C31" s="52"/>
      <c r="D31" s="52"/>
      <c r="E31" s="160">
        <v>-625000</v>
      </c>
      <c r="F31" s="187"/>
    </row>
    <row r="32" spans="1:6" ht="16.5" x14ac:dyDescent="0.35">
      <c r="A32" s="370" t="s">
        <v>1401</v>
      </c>
      <c r="B32" s="370"/>
      <c r="C32" s="370"/>
      <c r="D32" s="370"/>
      <c r="E32" s="371">
        <f>SUM(E28:E31)</f>
        <v>4098116</v>
      </c>
      <c r="F32" s="243">
        <f>+E32/C24</f>
        <v>7.0994734013319363E-2</v>
      </c>
    </row>
    <row r="33" spans="1:6" ht="16.5" x14ac:dyDescent="0.35">
      <c r="A33" s="372" t="s">
        <v>1403</v>
      </c>
      <c r="B33" s="372"/>
      <c r="C33" s="372"/>
      <c r="D33" s="372"/>
      <c r="E33" s="373">
        <f>+(E28+E31)</f>
        <v>5982082</v>
      </c>
      <c r="F33" s="374">
        <f>+E33/C24</f>
        <v>0.1036320886075127</v>
      </c>
    </row>
    <row r="34" spans="1:6" ht="16.5" x14ac:dyDescent="0.35">
      <c r="A34" s="52"/>
      <c r="B34" s="52"/>
      <c r="C34" s="52"/>
      <c r="D34" s="52"/>
      <c r="E34" s="206"/>
      <c r="F34" s="179"/>
    </row>
    <row r="35" spans="1:6" ht="16.5" x14ac:dyDescent="0.35">
      <c r="A35" s="52" t="s">
        <v>1404</v>
      </c>
      <c r="B35" s="52"/>
      <c r="C35" s="52"/>
      <c r="D35" s="52"/>
      <c r="E35" s="368">
        <f>+C14*0.09</f>
        <v>5195180.2544225994</v>
      </c>
      <c r="F35" s="87"/>
    </row>
    <row r="36" spans="1:6" x14ac:dyDescent="0.25">
      <c r="A36" s="379" t="s">
        <v>1405</v>
      </c>
      <c r="B36" s="379"/>
      <c r="C36" s="379"/>
      <c r="D36" s="379"/>
      <c r="E36" s="380">
        <f>+(E33-E35)</f>
        <v>786901.74557740055</v>
      </c>
      <c r="F36" s="381">
        <f>+E36/C24</f>
        <v>1.36320885308967E-2</v>
      </c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1:E1"/>
  </mergeCells>
  <pageMargins left="0.7" right="0.7" top="0.75" bottom="0.75" header="0.3" footer="0.3"/>
  <pageSetup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049F3-1F6E-4666-83CA-4EB13A3730A1}">
  <sheetPr>
    <pageSetUpPr fitToPage="1"/>
  </sheetPr>
  <dimension ref="B1:U48"/>
  <sheetViews>
    <sheetView topLeftCell="A4" workbookViewId="0">
      <selection activeCell="M28" sqref="M28"/>
    </sheetView>
  </sheetViews>
  <sheetFormatPr defaultRowHeight="15" x14ac:dyDescent="0.25"/>
  <cols>
    <col min="1" max="1" width="1" customWidth="1"/>
    <col min="2" max="2" width="6.140625" style="2" customWidth="1"/>
    <col min="3" max="3" width="8.5703125" style="208" customWidth="1"/>
    <col min="4" max="4" width="7.7109375" style="208" customWidth="1"/>
    <col min="5" max="5" width="8.85546875" style="208" customWidth="1"/>
    <col min="6" max="6" width="8.5703125" style="208" customWidth="1"/>
    <col min="7" max="7" width="9" style="208" customWidth="1"/>
    <col min="8" max="8" width="7.5703125" style="208" customWidth="1"/>
    <col min="9" max="10" width="8.7109375" style="208" customWidth="1"/>
    <col min="11" max="11" width="9.42578125" style="208" customWidth="1"/>
    <col min="12" max="12" width="9.140625" style="208" customWidth="1"/>
    <col min="13" max="13" width="9.5703125" style="208" customWidth="1"/>
    <col min="14" max="14" width="9.140625" style="208" customWidth="1"/>
    <col min="15" max="15" width="9.5703125" style="208" customWidth="1"/>
    <col min="16" max="16" width="1" customWidth="1"/>
    <col min="17" max="17" width="9.5703125" customWidth="1"/>
    <col min="18" max="18" width="11.28515625" customWidth="1"/>
    <col min="19" max="19" width="7.85546875" customWidth="1"/>
    <col min="21" max="21" width="15.28515625" bestFit="1" customWidth="1"/>
  </cols>
  <sheetData>
    <row r="1" spans="2:21" ht="23.25" x14ac:dyDescent="0.35">
      <c r="H1" s="277" t="s">
        <v>1372</v>
      </c>
      <c r="I1" s="275"/>
    </row>
    <row r="3" spans="2:21" x14ac:dyDescent="0.25">
      <c r="B3" s="328" t="s">
        <v>31</v>
      </c>
      <c r="C3" s="329"/>
      <c r="D3" s="330"/>
      <c r="E3" s="329"/>
      <c r="F3" s="330"/>
      <c r="G3" s="329"/>
      <c r="H3" s="330"/>
      <c r="I3" s="329"/>
      <c r="J3" s="330"/>
      <c r="K3" s="329"/>
      <c r="L3" s="330"/>
      <c r="M3" s="329"/>
      <c r="N3" s="331"/>
      <c r="O3" s="330"/>
      <c r="P3" s="332"/>
      <c r="Q3" s="332"/>
      <c r="R3" s="332"/>
      <c r="S3" s="332"/>
    </row>
    <row r="4" spans="2:21" x14ac:dyDescent="0.25">
      <c r="B4" s="333"/>
      <c r="C4" s="334" t="s">
        <v>1325</v>
      </c>
      <c r="D4" s="335"/>
      <c r="E4" s="334" t="s">
        <v>1320</v>
      </c>
      <c r="F4" s="335"/>
      <c r="G4" s="336" t="s">
        <v>1326</v>
      </c>
      <c r="H4" s="335"/>
      <c r="I4" s="336" t="s">
        <v>1327</v>
      </c>
      <c r="J4" s="335"/>
      <c r="K4" s="336" t="s">
        <v>1321</v>
      </c>
      <c r="L4" s="335"/>
      <c r="M4" s="336" t="s">
        <v>1396</v>
      </c>
      <c r="N4" s="337"/>
      <c r="O4" s="335"/>
      <c r="P4" s="338"/>
      <c r="Q4" s="338"/>
      <c r="R4" s="338"/>
      <c r="S4" s="338"/>
    </row>
    <row r="5" spans="2:21" ht="19.5" x14ac:dyDescent="0.25">
      <c r="B5" s="339" t="s">
        <v>1315</v>
      </c>
      <c r="C5" s="340" t="s">
        <v>1316</v>
      </c>
      <c r="D5" s="340" t="s">
        <v>1317</v>
      </c>
      <c r="E5" s="340" t="s">
        <v>1316</v>
      </c>
      <c r="F5" s="340" t="s">
        <v>1317</v>
      </c>
      <c r="G5" s="340" t="s">
        <v>1316</v>
      </c>
      <c r="H5" s="340" t="s">
        <v>1317</v>
      </c>
      <c r="I5" s="340" t="s">
        <v>1316</v>
      </c>
      <c r="J5" s="340" t="s">
        <v>1317</v>
      </c>
      <c r="K5" s="340" t="s">
        <v>1316</v>
      </c>
      <c r="L5" s="340" t="s">
        <v>1317</v>
      </c>
      <c r="M5" s="340" t="s">
        <v>1316</v>
      </c>
      <c r="N5" s="340" t="s">
        <v>1317</v>
      </c>
      <c r="O5" s="340" t="s">
        <v>1318</v>
      </c>
      <c r="P5" s="341"/>
      <c r="Q5" s="339" t="s">
        <v>1319</v>
      </c>
      <c r="R5" s="342" t="s">
        <v>1324</v>
      </c>
      <c r="S5" s="340" t="s">
        <v>1322</v>
      </c>
    </row>
    <row r="6" spans="2:21" ht="8.25" customHeight="1" x14ac:dyDescent="0.25">
      <c r="B6" s="343"/>
      <c r="C6" s="343"/>
      <c r="D6" s="343"/>
      <c r="E6" s="344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1"/>
      <c r="Q6" s="345"/>
      <c r="R6" s="346"/>
      <c r="S6" s="346"/>
    </row>
    <row r="7" spans="2:21" x14ac:dyDescent="0.25">
      <c r="B7" s="340">
        <v>2021</v>
      </c>
      <c r="C7" s="347">
        <v>250000</v>
      </c>
      <c r="D7" s="347">
        <v>90575</v>
      </c>
      <c r="E7" s="347">
        <v>280000</v>
      </c>
      <c r="F7" s="347">
        <v>154625</v>
      </c>
      <c r="G7" s="348">
        <v>210000</v>
      </c>
      <c r="H7" s="348">
        <v>95445</v>
      </c>
      <c r="I7" s="348">
        <v>250000</v>
      </c>
      <c r="J7" s="348">
        <v>243509</v>
      </c>
      <c r="K7" s="349">
        <v>0</v>
      </c>
      <c r="L7" s="349">
        <v>0</v>
      </c>
      <c r="M7" s="347">
        <f>+(C7+E7+G7+I7+K7)</f>
        <v>990000</v>
      </c>
      <c r="N7" s="347">
        <f>+(D7+F7+H7+J7+L7)</f>
        <v>584154</v>
      </c>
      <c r="O7" s="347">
        <f>SUM(M7:N7)</f>
        <v>1574154</v>
      </c>
      <c r="P7" s="341"/>
      <c r="Q7" s="349"/>
      <c r="R7" s="347">
        <f>'Budget Summary'!$B$30</f>
        <v>57724225</v>
      </c>
      <c r="S7" s="355">
        <f>+(O7/R7)</f>
        <v>2.7270249189140262E-2</v>
      </c>
    </row>
    <row r="8" spans="2:21" x14ac:dyDescent="0.25">
      <c r="B8" s="340">
        <v>2022</v>
      </c>
      <c r="C8" s="347">
        <v>250000</v>
      </c>
      <c r="D8" s="347">
        <v>83075</v>
      </c>
      <c r="E8" s="347">
        <v>280000</v>
      </c>
      <c r="F8" s="347">
        <v>143425</v>
      </c>
      <c r="G8" s="348">
        <v>210000</v>
      </c>
      <c r="H8" s="348">
        <v>87045</v>
      </c>
      <c r="I8" s="348">
        <v>250000</v>
      </c>
      <c r="J8" s="348">
        <v>152188</v>
      </c>
      <c r="K8" s="349">
        <v>0</v>
      </c>
      <c r="L8" s="347">
        <v>310026</v>
      </c>
      <c r="M8" s="347">
        <f t="shared" ref="M8:M37" si="0">+(C8+E8+G8+I8+K8)</f>
        <v>990000</v>
      </c>
      <c r="N8" s="347">
        <f t="shared" ref="N8:N37" si="1">+(D8+F8+H8+J8+L8)</f>
        <v>775759</v>
      </c>
      <c r="O8" s="347">
        <f t="shared" ref="O8:O37" si="2">SUM(M8:N8)</f>
        <v>1765759</v>
      </c>
      <c r="P8" s="341"/>
      <c r="Q8" s="347">
        <f>+(O8-O7)</f>
        <v>191605</v>
      </c>
      <c r="R8" s="347">
        <f>'Budget Summary'!$D$30</f>
        <v>59180971.880860001</v>
      </c>
      <c r="S8" s="355">
        <f t="shared" ref="S8" si="3">+(O8/R8)</f>
        <v>2.9836600242975606E-2</v>
      </c>
      <c r="U8" s="27" t="s">
        <v>31</v>
      </c>
    </row>
    <row r="9" spans="2:21" x14ac:dyDescent="0.25">
      <c r="B9" s="340">
        <v>2023</v>
      </c>
      <c r="C9" s="347">
        <v>250000</v>
      </c>
      <c r="D9" s="347">
        <v>75575</v>
      </c>
      <c r="E9" s="347">
        <v>280000</v>
      </c>
      <c r="F9" s="347">
        <v>132225</v>
      </c>
      <c r="G9" s="348">
        <v>210000</v>
      </c>
      <c r="H9" s="348">
        <v>78645</v>
      </c>
      <c r="I9" s="348">
        <v>250000</v>
      </c>
      <c r="J9" s="348">
        <v>139688</v>
      </c>
      <c r="K9" s="349">
        <v>0</v>
      </c>
      <c r="L9" s="347">
        <v>312631</v>
      </c>
      <c r="M9" s="347">
        <f t="shared" si="0"/>
        <v>990000</v>
      </c>
      <c r="N9" s="347">
        <f t="shared" si="1"/>
        <v>738764</v>
      </c>
      <c r="O9" s="347">
        <f t="shared" si="2"/>
        <v>1728764</v>
      </c>
      <c r="P9" s="341"/>
      <c r="Q9" s="350">
        <f t="shared" ref="Q9:Q38" si="4">+(O9-O8)</f>
        <v>-36995</v>
      </c>
      <c r="R9" s="350"/>
      <c r="S9" s="355"/>
    </row>
    <row r="10" spans="2:21" x14ac:dyDescent="0.25">
      <c r="B10" s="340">
        <v>2024</v>
      </c>
      <c r="C10" s="347">
        <v>250000</v>
      </c>
      <c r="D10" s="347">
        <v>68075</v>
      </c>
      <c r="E10" s="347">
        <v>280000</v>
      </c>
      <c r="F10" s="347">
        <v>122425</v>
      </c>
      <c r="G10" s="348">
        <v>210000</v>
      </c>
      <c r="H10" s="348">
        <v>70245</v>
      </c>
      <c r="I10" s="348">
        <v>250000</v>
      </c>
      <c r="J10" s="348">
        <v>127188</v>
      </c>
      <c r="K10" s="347">
        <v>245000</v>
      </c>
      <c r="L10" s="347">
        <v>312631</v>
      </c>
      <c r="M10" s="347">
        <f t="shared" si="0"/>
        <v>1235000</v>
      </c>
      <c r="N10" s="347">
        <f t="shared" si="1"/>
        <v>700564</v>
      </c>
      <c r="O10" s="347">
        <f t="shared" si="2"/>
        <v>1935564</v>
      </c>
      <c r="P10" s="341"/>
      <c r="Q10" s="347">
        <f t="shared" si="4"/>
        <v>206800</v>
      </c>
      <c r="R10" s="347"/>
      <c r="S10" s="355"/>
    </row>
    <row r="11" spans="2:21" x14ac:dyDescent="0.25">
      <c r="B11" s="340">
        <v>2025</v>
      </c>
      <c r="C11" s="347">
        <v>250000</v>
      </c>
      <c r="D11" s="347">
        <v>63075</v>
      </c>
      <c r="E11" s="347">
        <v>280000</v>
      </c>
      <c r="F11" s="347">
        <v>116125</v>
      </c>
      <c r="G11" s="348">
        <v>210000</v>
      </c>
      <c r="H11" s="348">
        <v>63945</v>
      </c>
      <c r="I11" s="348">
        <v>250000</v>
      </c>
      <c r="J11" s="348">
        <v>114688</v>
      </c>
      <c r="K11" s="347">
        <v>255000</v>
      </c>
      <c r="L11" s="347">
        <v>302831</v>
      </c>
      <c r="M11" s="347">
        <f t="shared" si="0"/>
        <v>1245000</v>
      </c>
      <c r="N11" s="347">
        <f t="shared" si="1"/>
        <v>660664</v>
      </c>
      <c r="O11" s="347">
        <f t="shared" si="2"/>
        <v>1905664</v>
      </c>
      <c r="P11" s="341"/>
      <c r="Q11" s="350">
        <f t="shared" si="4"/>
        <v>-29900</v>
      </c>
      <c r="R11" s="350"/>
      <c r="S11" s="355"/>
    </row>
    <row r="12" spans="2:21" x14ac:dyDescent="0.25">
      <c r="B12" s="340">
        <v>2026</v>
      </c>
      <c r="C12" s="347">
        <v>250000</v>
      </c>
      <c r="D12" s="347">
        <v>58075</v>
      </c>
      <c r="E12" s="347">
        <v>280000</v>
      </c>
      <c r="F12" s="347">
        <v>109125</v>
      </c>
      <c r="G12" s="348">
        <v>210000</v>
      </c>
      <c r="H12" s="348">
        <v>57435</v>
      </c>
      <c r="I12" s="348">
        <v>250000</v>
      </c>
      <c r="J12" s="348">
        <v>102188</v>
      </c>
      <c r="K12" s="347">
        <v>265000</v>
      </c>
      <c r="L12" s="347">
        <v>292631</v>
      </c>
      <c r="M12" s="347">
        <f t="shared" si="0"/>
        <v>1255000</v>
      </c>
      <c r="N12" s="347">
        <f t="shared" si="1"/>
        <v>619454</v>
      </c>
      <c r="O12" s="347">
        <f t="shared" si="2"/>
        <v>1874454</v>
      </c>
      <c r="P12" s="341"/>
      <c r="Q12" s="350">
        <f t="shared" si="4"/>
        <v>-31210</v>
      </c>
      <c r="R12" s="350"/>
      <c r="S12" s="355"/>
    </row>
    <row r="13" spans="2:21" x14ac:dyDescent="0.25">
      <c r="B13" s="340">
        <v>2027</v>
      </c>
      <c r="C13" s="347">
        <v>250000</v>
      </c>
      <c r="D13" s="347">
        <v>53075</v>
      </c>
      <c r="E13" s="347">
        <v>280000</v>
      </c>
      <c r="F13" s="347">
        <v>101425</v>
      </c>
      <c r="G13" s="348">
        <v>210000</v>
      </c>
      <c r="H13" s="348">
        <v>50715</v>
      </c>
      <c r="I13" s="348">
        <v>250000</v>
      </c>
      <c r="J13" s="348">
        <v>89688</v>
      </c>
      <c r="K13" s="347">
        <v>275000</v>
      </c>
      <c r="L13" s="347">
        <v>282031</v>
      </c>
      <c r="M13" s="347">
        <f t="shared" si="0"/>
        <v>1265000</v>
      </c>
      <c r="N13" s="347">
        <f t="shared" si="1"/>
        <v>576934</v>
      </c>
      <c r="O13" s="347">
        <f t="shared" si="2"/>
        <v>1841934</v>
      </c>
      <c r="P13" s="341"/>
      <c r="Q13" s="350">
        <f t="shared" si="4"/>
        <v>-32520</v>
      </c>
      <c r="R13" s="350"/>
      <c r="S13" s="355"/>
    </row>
    <row r="14" spans="2:21" x14ac:dyDescent="0.25">
      <c r="B14" s="340">
        <f>+(B13+1)</f>
        <v>2028</v>
      </c>
      <c r="C14" s="347">
        <v>250000</v>
      </c>
      <c r="D14" s="347">
        <v>48075</v>
      </c>
      <c r="E14" s="347">
        <v>280000</v>
      </c>
      <c r="F14" s="347">
        <v>93025</v>
      </c>
      <c r="G14" s="348">
        <v>210000</v>
      </c>
      <c r="H14" s="348">
        <v>43785</v>
      </c>
      <c r="I14" s="348">
        <v>250000</v>
      </c>
      <c r="J14" s="348">
        <v>77188</v>
      </c>
      <c r="K14" s="347">
        <v>285000</v>
      </c>
      <c r="L14" s="347">
        <v>271031</v>
      </c>
      <c r="M14" s="347">
        <f t="shared" si="0"/>
        <v>1275000</v>
      </c>
      <c r="N14" s="347">
        <f t="shared" si="1"/>
        <v>533104</v>
      </c>
      <c r="O14" s="347">
        <f t="shared" si="2"/>
        <v>1808104</v>
      </c>
      <c r="P14" s="341"/>
      <c r="Q14" s="350">
        <f t="shared" si="4"/>
        <v>-33830</v>
      </c>
      <c r="R14" s="350"/>
      <c r="S14" s="355"/>
    </row>
    <row r="15" spans="2:21" x14ac:dyDescent="0.25">
      <c r="B15" s="340">
        <f t="shared" ref="B15:B34" si="5">+(B14+1)</f>
        <v>2029</v>
      </c>
      <c r="C15" s="347">
        <v>250000</v>
      </c>
      <c r="D15" s="347">
        <v>43075</v>
      </c>
      <c r="E15" s="347">
        <v>280000</v>
      </c>
      <c r="F15" s="347">
        <v>84625</v>
      </c>
      <c r="G15" s="348">
        <v>210000</v>
      </c>
      <c r="H15" s="348">
        <v>36750</v>
      </c>
      <c r="I15" s="348">
        <v>250000</v>
      </c>
      <c r="J15" s="348">
        <v>64688</v>
      </c>
      <c r="K15" s="347">
        <v>295000</v>
      </c>
      <c r="L15" s="347">
        <v>259631</v>
      </c>
      <c r="M15" s="347">
        <f t="shared" si="0"/>
        <v>1285000</v>
      </c>
      <c r="N15" s="347">
        <f t="shared" si="1"/>
        <v>488769</v>
      </c>
      <c r="O15" s="347">
        <f t="shared" si="2"/>
        <v>1773769</v>
      </c>
      <c r="P15" s="341"/>
      <c r="Q15" s="350">
        <f t="shared" si="4"/>
        <v>-34335</v>
      </c>
      <c r="R15" s="350"/>
      <c r="S15" s="355"/>
    </row>
    <row r="16" spans="2:21" x14ac:dyDescent="0.25">
      <c r="B16" s="356">
        <f t="shared" si="5"/>
        <v>2030</v>
      </c>
      <c r="C16" s="357">
        <v>250000</v>
      </c>
      <c r="D16" s="357">
        <v>38075</v>
      </c>
      <c r="E16" s="357">
        <v>280000</v>
      </c>
      <c r="F16" s="357">
        <v>76225</v>
      </c>
      <c r="G16" s="358">
        <v>210000</v>
      </c>
      <c r="H16" s="358">
        <v>29610</v>
      </c>
      <c r="I16" s="358">
        <v>250000</v>
      </c>
      <c r="J16" s="358">
        <v>55938</v>
      </c>
      <c r="K16" s="357">
        <v>310000</v>
      </c>
      <c r="L16" s="357">
        <v>247831</v>
      </c>
      <c r="M16" s="357">
        <f t="shared" si="0"/>
        <v>1300000</v>
      </c>
      <c r="N16" s="357">
        <f t="shared" si="1"/>
        <v>447679</v>
      </c>
      <c r="O16" s="357">
        <f t="shared" si="2"/>
        <v>1747679</v>
      </c>
      <c r="P16" s="341"/>
      <c r="Q16" s="359">
        <f t="shared" si="4"/>
        <v>-26090</v>
      </c>
      <c r="R16" s="359"/>
      <c r="S16" s="360"/>
    </row>
    <row r="17" spans="2:21" x14ac:dyDescent="0.25">
      <c r="B17" s="340">
        <f t="shared" si="5"/>
        <v>2031</v>
      </c>
      <c r="C17" s="347">
        <v>245000</v>
      </c>
      <c r="D17" s="347">
        <v>33075</v>
      </c>
      <c r="E17" s="347">
        <v>280000</v>
      </c>
      <c r="F17" s="347">
        <v>67825</v>
      </c>
      <c r="G17" s="348">
        <v>210000</v>
      </c>
      <c r="H17" s="348">
        <v>22365</v>
      </c>
      <c r="I17" s="348">
        <v>250000</v>
      </c>
      <c r="J17" s="348">
        <v>50938</v>
      </c>
      <c r="K17" s="347">
        <v>320000</v>
      </c>
      <c r="L17" s="347">
        <v>235431</v>
      </c>
      <c r="M17" s="347">
        <f t="shared" si="0"/>
        <v>1305000</v>
      </c>
      <c r="N17" s="347">
        <f t="shared" si="1"/>
        <v>409634</v>
      </c>
      <c r="O17" s="347">
        <f t="shared" si="2"/>
        <v>1714634</v>
      </c>
      <c r="P17" s="343"/>
      <c r="Q17" s="350">
        <f t="shared" si="4"/>
        <v>-33045</v>
      </c>
      <c r="R17" s="350"/>
      <c r="S17" s="355"/>
      <c r="U17" s="399">
        <f>SUM(Q11:Q16)</f>
        <v>-187885</v>
      </c>
    </row>
    <row r="18" spans="2:21" x14ac:dyDescent="0.25">
      <c r="B18" s="340">
        <f t="shared" si="5"/>
        <v>2032</v>
      </c>
      <c r="C18" s="347">
        <v>245000</v>
      </c>
      <c r="D18" s="347">
        <v>28175</v>
      </c>
      <c r="E18" s="347">
        <v>280000</v>
      </c>
      <c r="F18" s="347">
        <v>59425</v>
      </c>
      <c r="G18" s="348">
        <v>210000</v>
      </c>
      <c r="H18" s="348">
        <v>15015</v>
      </c>
      <c r="I18" s="348">
        <v>250000</v>
      </c>
      <c r="J18" s="348">
        <v>45938</v>
      </c>
      <c r="K18" s="347">
        <v>335000</v>
      </c>
      <c r="L18" s="347">
        <v>222631</v>
      </c>
      <c r="M18" s="347">
        <f t="shared" si="0"/>
        <v>1320000</v>
      </c>
      <c r="N18" s="347">
        <f t="shared" si="1"/>
        <v>371184</v>
      </c>
      <c r="O18" s="347">
        <f t="shared" si="2"/>
        <v>1691184</v>
      </c>
      <c r="P18" s="343"/>
      <c r="Q18" s="350">
        <f t="shared" si="4"/>
        <v>-23450</v>
      </c>
      <c r="R18" s="350"/>
      <c r="S18" s="355"/>
    </row>
    <row r="19" spans="2:21" x14ac:dyDescent="0.25">
      <c r="B19" s="340">
        <f t="shared" si="5"/>
        <v>2033</v>
      </c>
      <c r="C19" s="347">
        <v>245000</v>
      </c>
      <c r="D19" s="347">
        <v>23030</v>
      </c>
      <c r="E19" s="347">
        <v>280000</v>
      </c>
      <c r="F19" s="347">
        <v>51025</v>
      </c>
      <c r="G19" s="348">
        <v>210000</v>
      </c>
      <c r="H19" s="348">
        <v>7560</v>
      </c>
      <c r="I19" s="348">
        <v>250000</v>
      </c>
      <c r="J19" s="348">
        <v>40938</v>
      </c>
      <c r="K19" s="347">
        <v>345000</v>
      </c>
      <c r="L19" s="347">
        <v>209231</v>
      </c>
      <c r="M19" s="347">
        <f t="shared" si="0"/>
        <v>1330000</v>
      </c>
      <c r="N19" s="347">
        <f t="shared" si="1"/>
        <v>331784</v>
      </c>
      <c r="O19" s="347">
        <f t="shared" si="2"/>
        <v>1661784</v>
      </c>
      <c r="P19" s="343"/>
      <c r="Q19" s="350">
        <f t="shared" si="4"/>
        <v>-29400</v>
      </c>
      <c r="R19" s="350"/>
      <c r="S19" s="355"/>
    </row>
    <row r="20" spans="2:21" x14ac:dyDescent="0.25">
      <c r="B20" s="340">
        <f t="shared" si="5"/>
        <v>2034</v>
      </c>
      <c r="C20" s="347">
        <v>245000</v>
      </c>
      <c r="D20" s="347">
        <v>17640</v>
      </c>
      <c r="E20" s="347">
        <v>275000</v>
      </c>
      <c r="F20" s="347">
        <v>42625</v>
      </c>
      <c r="G20" s="351"/>
      <c r="H20" s="351"/>
      <c r="I20" s="348">
        <v>250000</v>
      </c>
      <c r="J20" s="348">
        <v>35938</v>
      </c>
      <c r="K20" s="347">
        <v>360000</v>
      </c>
      <c r="L20" s="347">
        <v>195431</v>
      </c>
      <c r="M20" s="347">
        <f t="shared" si="0"/>
        <v>1130000</v>
      </c>
      <c r="N20" s="347">
        <f t="shared" si="1"/>
        <v>291634</v>
      </c>
      <c r="O20" s="347">
        <f t="shared" si="2"/>
        <v>1421634</v>
      </c>
      <c r="P20" s="343"/>
      <c r="Q20" s="350">
        <f t="shared" si="4"/>
        <v>-240150</v>
      </c>
      <c r="R20" s="350"/>
      <c r="S20" s="355"/>
    </row>
    <row r="21" spans="2:21" x14ac:dyDescent="0.25">
      <c r="B21" s="361">
        <f t="shared" si="5"/>
        <v>2035</v>
      </c>
      <c r="C21" s="362">
        <v>245000</v>
      </c>
      <c r="D21" s="362">
        <v>12005</v>
      </c>
      <c r="E21" s="362">
        <v>275000</v>
      </c>
      <c r="F21" s="362">
        <v>34375</v>
      </c>
      <c r="G21" s="363"/>
      <c r="H21" s="363"/>
      <c r="I21" s="364">
        <v>250000</v>
      </c>
      <c r="J21" s="364">
        <v>30781</v>
      </c>
      <c r="K21" s="362">
        <v>375000</v>
      </c>
      <c r="L21" s="362">
        <v>181031</v>
      </c>
      <c r="M21" s="362">
        <f t="shared" si="0"/>
        <v>1145000</v>
      </c>
      <c r="N21" s="362">
        <f t="shared" si="1"/>
        <v>258192</v>
      </c>
      <c r="O21" s="362">
        <f t="shared" si="2"/>
        <v>1403192</v>
      </c>
      <c r="P21" s="341"/>
      <c r="Q21" s="365">
        <f t="shared" si="4"/>
        <v>-18442</v>
      </c>
      <c r="R21" s="365"/>
      <c r="S21" s="366"/>
    </row>
    <row r="22" spans="2:21" x14ac:dyDescent="0.25">
      <c r="B22" s="340">
        <f t="shared" si="5"/>
        <v>2036</v>
      </c>
      <c r="C22" s="347">
        <v>245000</v>
      </c>
      <c r="D22" s="347">
        <v>6125</v>
      </c>
      <c r="E22" s="347">
        <v>275000</v>
      </c>
      <c r="F22" s="347">
        <v>26125</v>
      </c>
      <c r="G22" s="351"/>
      <c r="H22" s="351"/>
      <c r="I22" s="348">
        <v>250000</v>
      </c>
      <c r="J22" s="348">
        <v>25469</v>
      </c>
      <c r="K22" s="347">
        <v>390000</v>
      </c>
      <c r="L22" s="347">
        <v>166031</v>
      </c>
      <c r="M22" s="347">
        <f t="shared" si="0"/>
        <v>1160000</v>
      </c>
      <c r="N22" s="347">
        <f t="shared" si="1"/>
        <v>223750</v>
      </c>
      <c r="O22" s="347">
        <f t="shared" si="2"/>
        <v>1383750</v>
      </c>
      <c r="P22" s="341"/>
      <c r="Q22" s="350">
        <f t="shared" si="4"/>
        <v>-19442</v>
      </c>
      <c r="R22" s="350"/>
      <c r="S22" s="355"/>
    </row>
    <row r="23" spans="2:21" x14ac:dyDescent="0.25">
      <c r="B23" s="340">
        <f t="shared" si="5"/>
        <v>2037</v>
      </c>
      <c r="C23" s="351"/>
      <c r="D23" s="351"/>
      <c r="E23" s="347">
        <v>275000</v>
      </c>
      <c r="F23" s="347">
        <v>17531</v>
      </c>
      <c r="G23" s="351"/>
      <c r="H23" s="351"/>
      <c r="I23" s="348">
        <v>250000</v>
      </c>
      <c r="J23" s="348">
        <v>20000</v>
      </c>
      <c r="K23" s="347">
        <v>400000</v>
      </c>
      <c r="L23" s="347">
        <v>154331</v>
      </c>
      <c r="M23" s="347">
        <f t="shared" si="0"/>
        <v>925000</v>
      </c>
      <c r="N23" s="347">
        <f t="shared" si="1"/>
        <v>191862</v>
      </c>
      <c r="O23" s="347">
        <f t="shared" si="2"/>
        <v>1116862</v>
      </c>
      <c r="P23" s="341"/>
      <c r="Q23" s="350">
        <f t="shared" si="4"/>
        <v>-266888</v>
      </c>
      <c r="R23" s="350"/>
      <c r="S23" s="355"/>
    </row>
    <row r="24" spans="2:21" x14ac:dyDescent="0.25">
      <c r="B24" s="340">
        <f t="shared" si="5"/>
        <v>2038</v>
      </c>
      <c r="C24" s="351"/>
      <c r="D24" s="351"/>
      <c r="E24" s="347">
        <v>275000</v>
      </c>
      <c r="F24" s="347">
        <v>8938</v>
      </c>
      <c r="G24" s="351"/>
      <c r="H24" s="351"/>
      <c r="I24" s="348">
        <v>250000</v>
      </c>
      <c r="J24" s="348">
        <v>14375</v>
      </c>
      <c r="K24" s="347">
        <v>415000</v>
      </c>
      <c r="L24" s="347">
        <v>142331</v>
      </c>
      <c r="M24" s="347">
        <f t="shared" si="0"/>
        <v>940000</v>
      </c>
      <c r="N24" s="347">
        <f t="shared" si="1"/>
        <v>165644</v>
      </c>
      <c r="O24" s="347">
        <f t="shared" si="2"/>
        <v>1105644</v>
      </c>
      <c r="P24" s="341"/>
      <c r="Q24" s="350">
        <f t="shared" si="4"/>
        <v>-11218</v>
      </c>
      <c r="R24" s="350"/>
      <c r="S24" s="355"/>
    </row>
    <row r="25" spans="2:21" x14ac:dyDescent="0.25">
      <c r="B25" s="340">
        <f t="shared" si="5"/>
        <v>2039</v>
      </c>
      <c r="C25" s="351"/>
      <c r="D25" s="351"/>
      <c r="E25" s="351"/>
      <c r="F25" s="351"/>
      <c r="G25" s="351"/>
      <c r="H25" s="351"/>
      <c r="I25" s="348">
        <v>250000</v>
      </c>
      <c r="J25" s="348">
        <v>8750</v>
      </c>
      <c r="K25" s="347">
        <v>420000</v>
      </c>
      <c r="L25" s="347">
        <v>134031</v>
      </c>
      <c r="M25" s="347">
        <f t="shared" si="0"/>
        <v>670000</v>
      </c>
      <c r="N25" s="347">
        <f t="shared" si="1"/>
        <v>142781</v>
      </c>
      <c r="O25" s="347">
        <f t="shared" si="2"/>
        <v>812781</v>
      </c>
      <c r="P25" s="341"/>
      <c r="Q25" s="350">
        <f t="shared" si="4"/>
        <v>-292863</v>
      </c>
      <c r="R25" s="350"/>
      <c r="S25" s="355"/>
    </row>
    <row r="26" spans="2:21" x14ac:dyDescent="0.25">
      <c r="B26" s="340">
        <f t="shared" si="5"/>
        <v>2040</v>
      </c>
      <c r="C26" s="351"/>
      <c r="D26" s="351"/>
      <c r="E26" s="351"/>
      <c r="F26" s="351"/>
      <c r="G26" s="351"/>
      <c r="H26" s="351"/>
      <c r="I26" s="348">
        <v>250000</v>
      </c>
      <c r="J26" s="348">
        <v>2969</v>
      </c>
      <c r="K26" s="347">
        <v>430000</v>
      </c>
      <c r="L26" s="347">
        <v>125631</v>
      </c>
      <c r="M26" s="347">
        <f t="shared" si="0"/>
        <v>680000</v>
      </c>
      <c r="N26" s="347">
        <f t="shared" si="1"/>
        <v>128600</v>
      </c>
      <c r="O26" s="347">
        <f t="shared" si="2"/>
        <v>808600</v>
      </c>
      <c r="P26" s="341"/>
      <c r="Q26" s="350">
        <f t="shared" si="4"/>
        <v>-4181</v>
      </c>
      <c r="R26" s="350"/>
      <c r="S26" s="355"/>
    </row>
    <row r="27" spans="2:21" x14ac:dyDescent="0.25">
      <c r="B27" s="340">
        <f t="shared" si="5"/>
        <v>2041</v>
      </c>
      <c r="C27" s="351"/>
      <c r="D27" s="351"/>
      <c r="E27" s="351"/>
      <c r="F27" s="351"/>
      <c r="G27" s="351"/>
      <c r="H27" s="351"/>
      <c r="I27" s="351"/>
      <c r="J27" s="351"/>
      <c r="K27" s="347">
        <v>440000</v>
      </c>
      <c r="L27" s="347">
        <v>117031</v>
      </c>
      <c r="M27" s="347">
        <f t="shared" si="0"/>
        <v>440000</v>
      </c>
      <c r="N27" s="347">
        <f t="shared" si="1"/>
        <v>117031</v>
      </c>
      <c r="O27" s="347">
        <f t="shared" si="2"/>
        <v>557031</v>
      </c>
      <c r="P27" s="341"/>
      <c r="Q27" s="350">
        <f t="shared" si="4"/>
        <v>-251569</v>
      </c>
      <c r="R27" s="350"/>
      <c r="S27" s="355"/>
    </row>
    <row r="28" spans="2:21" x14ac:dyDescent="0.25">
      <c r="B28" s="340">
        <f t="shared" si="5"/>
        <v>2042</v>
      </c>
      <c r="C28" s="351"/>
      <c r="D28" s="351"/>
      <c r="E28" s="351"/>
      <c r="F28" s="351"/>
      <c r="G28" s="351"/>
      <c r="H28" s="351"/>
      <c r="I28" s="351"/>
      <c r="J28" s="351"/>
      <c r="K28" s="347">
        <v>450000</v>
      </c>
      <c r="L28" s="347">
        <v>108231</v>
      </c>
      <c r="M28" s="347">
        <f t="shared" si="0"/>
        <v>450000</v>
      </c>
      <c r="N28" s="347">
        <f t="shared" si="1"/>
        <v>108231</v>
      </c>
      <c r="O28" s="347">
        <f t="shared" si="2"/>
        <v>558231</v>
      </c>
      <c r="P28" s="341"/>
      <c r="Q28" s="347">
        <f t="shared" si="4"/>
        <v>1200</v>
      </c>
      <c r="R28" s="347"/>
      <c r="S28" s="355"/>
    </row>
    <row r="29" spans="2:21" x14ac:dyDescent="0.25">
      <c r="B29" s="340">
        <f t="shared" si="5"/>
        <v>2043</v>
      </c>
      <c r="C29" s="351"/>
      <c r="D29" s="351"/>
      <c r="E29" s="351"/>
      <c r="F29" s="351"/>
      <c r="G29" s="351"/>
      <c r="H29" s="351"/>
      <c r="I29" s="351"/>
      <c r="J29" s="351"/>
      <c r="K29" s="347">
        <v>460000</v>
      </c>
      <c r="L29" s="347">
        <v>98669</v>
      </c>
      <c r="M29" s="347">
        <f t="shared" si="0"/>
        <v>460000</v>
      </c>
      <c r="N29" s="347">
        <f t="shared" si="1"/>
        <v>98669</v>
      </c>
      <c r="O29" s="347">
        <f t="shared" si="2"/>
        <v>558669</v>
      </c>
      <c r="P29" s="341"/>
      <c r="Q29" s="347">
        <f t="shared" si="4"/>
        <v>438</v>
      </c>
      <c r="R29" s="347"/>
      <c r="S29" s="355"/>
    </row>
    <row r="30" spans="2:21" x14ac:dyDescent="0.25">
      <c r="B30" s="340">
        <f t="shared" si="5"/>
        <v>2044</v>
      </c>
      <c r="C30" s="351"/>
      <c r="D30" s="351"/>
      <c r="E30" s="351"/>
      <c r="F30" s="351"/>
      <c r="G30" s="351"/>
      <c r="H30" s="351"/>
      <c r="I30" s="351"/>
      <c r="J30" s="351"/>
      <c r="K30" s="347">
        <v>465000</v>
      </c>
      <c r="L30" s="347">
        <v>88894</v>
      </c>
      <c r="M30" s="347">
        <f t="shared" si="0"/>
        <v>465000</v>
      </c>
      <c r="N30" s="347">
        <f t="shared" si="1"/>
        <v>88894</v>
      </c>
      <c r="O30" s="347">
        <f t="shared" si="2"/>
        <v>553894</v>
      </c>
      <c r="P30" s="341"/>
      <c r="Q30" s="350">
        <f t="shared" si="4"/>
        <v>-4775</v>
      </c>
      <c r="R30" s="350"/>
      <c r="S30" s="355"/>
    </row>
    <row r="31" spans="2:21" x14ac:dyDescent="0.25">
      <c r="B31" s="340">
        <f t="shared" si="5"/>
        <v>2045</v>
      </c>
      <c r="C31" s="351"/>
      <c r="D31" s="351"/>
      <c r="E31" s="351"/>
      <c r="F31" s="351"/>
      <c r="G31" s="351"/>
      <c r="H31" s="351"/>
      <c r="I31" s="351"/>
      <c r="J31" s="351"/>
      <c r="K31" s="347">
        <v>475000</v>
      </c>
      <c r="L31" s="347">
        <v>79013</v>
      </c>
      <c r="M31" s="347">
        <f t="shared" si="0"/>
        <v>475000</v>
      </c>
      <c r="N31" s="347">
        <f t="shared" si="1"/>
        <v>79013</v>
      </c>
      <c r="O31" s="347">
        <f t="shared" si="2"/>
        <v>554013</v>
      </c>
      <c r="P31" s="341"/>
      <c r="Q31" s="347">
        <f t="shared" si="4"/>
        <v>119</v>
      </c>
      <c r="R31" s="347"/>
      <c r="S31" s="355"/>
    </row>
    <row r="32" spans="2:21" x14ac:dyDescent="0.25">
      <c r="B32" s="340">
        <f t="shared" si="5"/>
        <v>2046</v>
      </c>
      <c r="C32" s="351"/>
      <c r="D32" s="351"/>
      <c r="E32" s="351"/>
      <c r="F32" s="351"/>
      <c r="G32" s="351"/>
      <c r="H32" s="351"/>
      <c r="I32" s="351"/>
      <c r="J32" s="351"/>
      <c r="K32" s="347">
        <v>485000</v>
      </c>
      <c r="L32" s="347">
        <v>68919</v>
      </c>
      <c r="M32" s="347">
        <f t="shared" si="0"/>
        <v>485000</v>
      </c>
      <c r="N32" s="347">
        <f t="shared" si="1"/>
        <v>68919</v>
      </c>
      <c r="O32" s="347">
        <f t="shared" si="2"/>
        <v>553919</v>
      </c>
      <c r="P32" s="341"/>
      <c r="Q32" s="350">
        <f t="shared" si="4"/>
        <v>-94</v>
      </c>
      <c r="R32" s="350"/>
      <c r="S32" s="355"/>
    </row>
    <row r="33" spans="2:19" x14ac:dyDescent="0.25">
      <c r="B33" s="340">
        <f t="shared" si="5"/>
        <v>2047</v>
      </c>
      <c r="C33" s="351"/>
      <c r="D33" s="351"/>
      <c r="E33" s="351"/>
      <c r="F33" s="351"/>
      <c r="G33" s="351"/>
      <c r="H33" s="351"/>
      <c r="I33" s="351"/>
      <c r="J33" s="351"/>
      <c r="K33" s="347">
        <v>500000</v>
      </c>
      <c r="L33" s="347">
        <v>58613</v>
      </c>
      <c r="M33" s="347">
        <f t="shared" si="0"/>
        <v>500000</v>
      </c>
      <c r="N33" s="347">
        <f t="shared" si="1"/>
        <v>58613</v>
      </c>
      <c r="O33" s="347">
        <f t="shared" si="2"/>
        <v>558613</v>
      </c>
      <c r="P33" s="341"/>
      <c r="Q33" s="347">
        <f t="shared" si="4"/>
        <v>4694</v>
      </c>
      <c r="R33" s="347"/>
      <c r="S33" s="355"/>
    </row>
    <row r="34" spans="2:19" x14ac:dyDescent="0.25">
      <c r="B34" s="340">
        <f t="shared" si="5"/>
        <v>2048</v>
      </c>
      <c r="C34" s="351"/>
      <c r="D34" s="351"/>
      <c r="E34" s="351"/>
      <c r="F34" s="351"/>
      <c r="G34" s="351"/>
      <c r="H34" s="351"/>
      <c r="I34" s="351"/>
      <c r="J34" s="351"/>
      <c r="K34" s="347">
        <v>510000</v>
      </c>
      <c r="L34" s="347">
        <v>47363</v>
      </c>
      <c r="M34" s="347">
        <f t="shared" si="0"/>
        <v>510000</v>
      </c>
      <c r="N34" s="347">
        <f t="shared" si="1"/>
        <v>47363</v>
      </c>
      <c r="O34" s="347">
        <f t="shared" si="2"/>
        <v>557363</v>
      </c>
      <c r="P34" s="341"/>
      <c r="Q34" s="350">
        <f t="shared" si="4"/>
        <v>-1250</v>
      </c>
      <c r="R34" s="350"/>
      <c r="S34" s="355"/>
    </row>
    <row r="35" spans="2:19" x14ac:dyDescent="0.25">
      <c r="B35" s="340">
        <f>+(B34+1)</f>
        <v>2049</v>
      </c>
      <c r="C35" s="351"/>
      <c r="D35" s="351"/>
      <c r="E35" s="351"/>
      <c r="F35" s="351"/>
      <c r="G35" s="351"/>
      <c r="H35" s="351"/>
      <c r="I35" s="351"/>
      <c r="J35" s="351"/>
      <c r="K35" s="347">
        <v>520000</v>
      </c>
      <c r="L35" s="347">
        <v>35888</v>
      </c>
      <c r="M35" s="347">
        <f t="shared" si="0"/>
        <v>520000</v>
      </c>
      <c r="N35" s="347">
        <f t="shared" si="1"/>
        <v>35888</v>
      </c>
      <c r="O35" s="347">
        <f t="shared" si="2"/>
        <v>555888</v>
      </c>
      <c r="P35" s="341"/>
      <c r="Q35" s="350">
        <f t="shared" si="4"/>
        <v>-1475</v>
      </c>
      <c r="R35" s="350"/>
      <c r="S35" s="355"/>
    </row>
    <row r="36" spans="2:19" x14ac:dyDescent="0.25">
      <c r="B36" s="340">
        <f t="shared" ref="B36:B38" si="6">+(B35+1)</f>
        <v>2050</v>
      </c>
      <c r="C36" s="351"/>
      <c r="D36" s="351"/>
      <c r="E36" s="351"/>
      <c r="F36" s="351"/>
      <c r="G36" s="351"/>
      <c r="H36" s="351"/>
      <c r="I36" s="351"/>
      <c r="J36" s="351"/>
      <c r="K36" s="347">
        <v>530000</v>
      </c>
      <c r="L36" s="347">
        <v>24188</v>
      </c>
      <c r="M36" s="347">
        <f t="shared" si="0"/>
        <v>530000</v>
      </c>
      <c r="N36" s="347">
        <f t="shared" si="1"/>
        <v>24188</v>
      </c>
      <c r="O36" s="347">
        <f t="shared" si="2"/>
        <v>554188</v>
      </c>
      <c r="P36" s="341"/>
      <c r="Q36" s="350">
        <f t="shared" si="4"/>
        <v>-1700</v>
      </c>
      <c r="R36" s="350"/>
      <c r="S36" s="355"/>
    </row>
    <row r="37" spans="2:19" x14ac:dyDescent="0.25">
      <c r="B37" s="340">
        <f t="shared" si="6"/>
        <v>2051</v>
      </c>
      <c r="C37" s="351"/>
      <c r="D37" s="351"/>
      <c r="E37" s="351"/>
      <c r="F37" s="351"/>
      <c r="G37" s="351"/>
      <c r="H37" s="351"/>
      <c r="I37" s="351"/>
      <c r="J37" s="351"/>
      <c r="K37" s="347">
        <v>545000</v>
      </c>
      <c r="L37" s="347">
        <v>12263</v>
      </c>
      <c r="M37" s="347">
        <f t="shared" si="0"/>
        <v>545000</v>
      </c>
      <c r="N37" s="347">
        <f t="shared" si="1"/>
        <v>12263</v>
      </c>
      <c r="O37" s="347">
        <f t="shared" si="2"/>
        <v>557263</v>
      </c>
      <c r="P37" s="341"/>
      <c r="Q37" s="347">
        <f t="shared" si="4"/>
        <v>3075</v>
      </c>
      <c r="R37" s="347"/>
      <c r="S37" s="355"/>
    </row>
    <row r="38" spans="2:19" x14ac:dyDescent="0.25">
      <c r="B38" s="340">
        <f t="shared" si="6"/>
        <v>2052</v>
      </c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2"/>
      <c r="P38" s="341"/>
      <c r="Q38" s="350">
        <f t="shared" si="4"/>
        <v>-557263</v>
      </c>
      <c r="R38" s="350"/>
      <c r="S38" s="340"/>
    </row>
    <row r="39" spans="2:19" x14ac:dyDescent="0.25">
      <c r="B39" s="340" t="s">
        <v>19</v>
      </c>
      <c r="C39" s="353">
        <f t="shared" ref="C39:L39" si="7">SUM(C7:C38)</f>
        <v>3970000</v>
      </c>
      <c r="D39" s="353">
        <f t="shared" si="7"/>
        <v>740800</v>
      </c>
      <c r="E39" s="353">
        <f t="shared" si="7"/>
        <v>5015000</v>
      </c>
      <c r="F39" s="353">
        <f t="shared" si="7"/>
        <v>1441119</v>
      </c>
      <c r="G39" s="353">
        <f t="shared" si="7"/>
        <v>2730000</v>
      </c>
      <c r="H39" s="353">
        <f t="shared" si="7"/>
        <v>658560</v>
      </c>
      <c r="I39" s="353">
        <f t="shared" si="7"/>
        <v>5000000</v>
      </c>
      <c r="J39" s="353">
        <f t="shared" si="7"/>
        <v>1443047</v>
      </c>
      <c r="K39" s="353">
        <f t="shared" si="7"/>
        <v>11100000</v>
      </c>
      <c r="L39" s="353">
        <f t="shared" si="7"/>
        <v>5096456</v>
      </c>
      <c r="M39" s="354">
        <f>SUM(M7:M38)</f>
        <v>27815000</v>
      </c>
      <c r="N39" s="354">
        <f>SUM(N7:N37)</f>
        <v>9379982</v>
      </c>
      <c r="O39" s="354">
        <f>SUM(O7:O37)</f>
        <v>37194982</v>
      </c>
      <c r="P39" s="338"/>
      <c r="Q39" s="338"/>
      <c r="R39" s="338"/>
      <c r="S39" s="338"/>
    </row>
    <row r="48" spans="2:19" x14ac:dyDescent="0.25">
      <c r="E48" s="209"/>
    </row>
  </sheetData>
  <sheetProtection sheet="1"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88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58F25-056E-4C13-9A28-19E5505055DB}">
  <dimension ref="A3:B14"/>
  <sheetViews>
    <sheetView workbookViewId="0">
      <selection activeCell="A24" sqref="A24"/>
    </sheetView>
  </sheetViews>
  <sheetFormatPr defaultRowHeight="15" x14ac:dyDescent="0.25"/>
  <cols>
    <col min="1" max="1" width="36.42578125" customWidth="1"/>
    <col min="2" max="2" width="15.28515625" bestFit="1" customWidth="1"/>
  </cols>
  <sheetData>
    <row r="3" spans="1:2" x14ac:dyDescent="0.25">
      <c r="A3" s="57" t="s">
        <v>402</v>
      </c>
      <c r="B3" s="28">
        <f>Revenue!$G$11</f>
        <v>1346400</v>
      </c>
    </row>
    <row r="4" spans="1:2" x14ac:dyDescent="0.25">
      <c r="A4" s="57" t="s">
        <v>897</v>
      </c>
      <c r="B4" s="28">
        <f>Revenue!$G$19</f>
        <v>221500</v>
      </c>
    </row>
    <row r="5" spans="1:2" x14ac:dyDescent="0.25">
      <c r="A5" s="57" t="s">
        <v>1280</v>
      </c>
      <c r="B5" s="28">
        <f>Revenue!$G$22</f>
        <v>15031668</v>
      </c>
    </row>
    <row r="6" spans="1:2" x14ac:dyDescent="0.25">
      <c r="A6" s="57" t="s">
        <v>411</v>
      </c>
      <c r="B6" s="28">
        <f>Revenue!$G$38</f>
        <v>1994286</v>
      </c>
    </row>
    <row r="7" spans="1:2" x14ac:dyDescent="0.25">
      <c r="A7" s="140" t="s">
        <v>428</v>
      </c>
      <c r="B7" s="28">
        <f>Revenue!$G$56</f>
        <v>1689000</v>
      </c>
    </row>
    <row r="8" spans="1:2" x14ac:dyDescent="0.25">
      <c r="A8" s="140" t="s">
        <v>898</v>
      </c>
      <c r="B8" s="28">
        <f>Revenue!$G$62</f>
        <v>195600</v>
      </c>
    </row>
    <row r="9" spans="1:2" x14ac:dyDescent="0.25">
      <c r="A9" s="140" t="s">
        <v>899</v>
      </c>
      <c r="B9" s="28">
        <f>Revenue!$G$68</f>
        <v>27200</v>
      </c>
    </row>
    <row r="10" spans="1:2" x14ac:dyDescent="0.25">
      <c r="A10" s="140" t="s">
        <v>900</v>
      </c>
      <c r="B10" s="28">
        <f>Revenue!$G$86</f>
        <v>424500</v>
      </c>
    </row>
    <row r="11" spans="1:2" x14ac:dyDescent="0.25">
      <c r="A11" s="140" t="s">
        <v>1281</v>
      </c>
      <c r="B11" s="28">
        <f>Revenue!$G$95</f>
        <v>1260500</v>
      </c>
    </row>
    <row r="12" spans="1:2" x14ac:dyDescent="0.25">
      <c r="A12" s="57" t="s">
        <v>1386</v>
      </c>
      <c r="B12" s="28">
        <f>Revenue!$G$4</f>
        <v>36990318.245999999</v>
      </c>
    </row>
    <row r="14" spans="1:2" x14ac:dyDescent="0.25">
      <c r="B14" s="399">
        <f>SUM(B3:B12)</f>
        <v>59180972.245999999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3220A-E2D8-4272-B603-21BDF8E4116D}">
  <sheetPr>
    <pageSetUpPr fitToPage="1"/>
  </sheetPr>
  <dimension ref="A1:I97"/>
  <sheetViews>
    <sheetView workbookViewId="0">
      <pane ySplit="2" topLeftCell="A42" activePane="bottomLeft" state="frozen"/>
      <selection activeCell="A24" sqref="A24"/>
      <selection pane="bottomLeft" activeCell="D43" sqref="D43"/>
    </sheetView>
  </sheetViews>
  <sheetFormatPr defaultRowHeight="15" x14ac:dyDescent="0.25"/>
  <cols>
    <col min="2" max="2" width="20.7109375" style="4" customWidth="1"/>
    <col min="3" max="3" width="21.42578125" customWidth="1"/>
    <col min="4" max="4" width="36" customWidth="1"/>
    <col min="5" max="5" width="16" style="176" customWidth="1"/>
    <col min="6" max="6" width="16.28515625" style="176" customWidth="1"/>
    <col min="7" max="7" width="12.85546875" style="176" customWidth="1"/>
    <col min="8" max="8" width="12.7109375" style="176" customWidth="1"/>
    <col min="9" max="9" width="14.140625" style="176" customWidth="1"/>
  </cols>
  <sheetData>
    <row r="1" spans="1:9" ht="23.25" x14ac:dyDescent="0.35">
      <c r="D1" s="276" t="s">
        <v>1370</v>
      </c>
    </row>
    <row r="2" spans="1:9" ht="27" x14ac:dyDescent="0.25">
      <c r="A2" s="23" t="s">
        <v>398</v>
      </c>
      <c r="B2" s="26" t="s">
        <v>399</v>
      </c>
      <c r="C2" s="24" t="s">
        <v>400</v>
      </c>
      <c r="D2" s="25" t="s">
        <v>401</v>
      </c>
      <c r="E2" s="172" t="s">
        <v>465</v>
      </c>
      <c r="F2" s="173" t="s">
        <v>467</v>
      </c>
      <c r="G2" s="173" t="s">
        <v>466</v>
      </c>
      <c r="H2" s="173" t="s">
        <v>6</v>
      </c>
      <c r="I2" s="173" t="s">
        <v>7</v>
      </c>
    </row>
    <row r="3" spans="1:9" ht="20.100000000000001" customHeight="1" x14ac:dyDescent="0.25">
      <c r="A3" s="102">
        <v>41</v>
      </c>
      <c r="B3" s="103" t="s">
        <v>1278</v>
      </c>
      <c r="C3" s="101" t="s">
        <v>822</v>
      </c>
      <c r="D3" s="260" t="s">
        <v>403</v>
      </c>
      <c r="E3" s="261">
        <f>'Property Tax'!$C$33</f>
        <v>36728402.049139991</v>
      </c>
      <c r="F3" s="261">
        <v>37500000</v>
      </c>
      <c r="G3" s="261">
        <f>'Property Tax'!$E$33</f>
        <v>36990318.245999999</v>
      </c>
      <c r="H3" s="175">
        <f>'Property Tax'!$E$33</f>
        <v>36990318.245999999</v>
      </c>
      <c r="I3" s="175">
        <f>'Property Tax'!$E$33</f>
        <v>36990318.245999999</v>
      </c>
    </row>
    <row r="4" spans="1:9" ht="20.100000000000001" customHeight="1" x14ac:dyDescent="0.25">
      <c r="A4" s="387" t="s">
        <v>19</v>
      </c>
      <c r="B4" s="388"/>
      <c r="C4" s="389"/>
      <c r="D4" s="390"/>
      <c r="E4" s="391">
        <f>SUM(E3)</f>
        <v>36728402.049139991</v>
      </c>
      <c r="F4" s="391">
        <f t="shared" ref="F4:I4" si="0">SUM(F3)</f>
        <v>37500000</v>
      </c>
      <c r="G4" s="391">
        <f t="shared" si="0"/>
        <v>36990318.245999999</v>
      </c>
      <c r="H4" s="392">
        <f t="shared" si="0"/>
        <v>36990318.245999999</v>
      </c>
      <c r="I4" s="392">
        <f t="shared" si="0"/>
        <v>36990318.245999999</v>
      </c>
    </row>
    <row r="5" spans="1:9" ht="20.100000000000001" customHeight="1" x14ac:dyDescent="0.25">
      <c r="A5" s="102"/>
      <c r="B5" s="103"/>
      <c r="C5" s="101"/>
      <c r="D5" s="260"/>
      <c r="E5" s="261"/>
      <c r="F5" s="261"/>
      <c r="G5" s="261"/>
      <c r="H5" s="175"/>
      <c r="I5" s="175"/>
    </row>
    <row r="6" spans="1:9" ht="20.100000000000001" customHeight="1" x14ac:dyDescent="0.25">
      <c r="A6" s="102">
        <v>41</v>
      </c>
      <c r="B6" s="103" t="s">
        <v>402</v>
      </c>
      <c r="C6" s="101" t="s">
        <v>823</v>
      </c>
      <c r="D6" s="260" t="s">
        <v>404</v>
      </c>
      <c r="E6" s="261">
        <v>600000</v>
      </c>
      <c r="F6" s="261">
        <v>450000</v>
      </c>
      <c r="G6" s="261">
        <v>446400</v>
      </c>
      <c r="H6" s="175">
        <v>446400</v>
      </c>
      <c r="I6" s="175"/>
    </row>
    <row r="7" spans="1:9" ht="20.100000000000001" customHeight="1" x14ac:dyDescent="0.25">
      <c r="A7" s="102">
        <v>41</v>
      </c>
      <c r="B7" s="103" t="s">
        <v>402</v>
      </c>
      <c r="C7" s="101" t="s">
        <v>824</v>
      </c>
      <c r="D7" s="260" t="s">
        <v>405</v>
      </c>
      <c r="E7" s="261">
        <v>480000</v>
      </c>
      <c r="F7" s="261">
        <v>400000</v>
      </c>
      <c r="G7" s="261">
        <v>480000</v>
      </c>
      <c r="H7" s="175">
        <v>480000</v>
      </c>
      <c r="I7" s="175"/>
    </row>
    <row r="8" spans="1:9" ht="20.100000000000001" customHeight="1" x14ac:dyDescent="0.25">
      <c r="A8" s="102">
        <v>41</v>
      </c>
      <c r="B8" s="103" t="s">
        <v>402</v>
      </c>
      <c r="C8" s="101" t="s">
        <v>825</v>
      </c>
      <c r="D8" s="260" t="s">
        <v>826</v>
      </c>
      <c r="E8" s="261">
        <v>350000</v>
      </c>
      <c r="F8" s="261">
        <v>350000</v>
      </c>
      <c r="G8" s="261">
        <v>350000</v>
      </c>
      <c r="H8" s="175">
        <v>350000</v>
      </c>
      <c r="I8" s="175"/>
    </row>
    <row r="9" spans="1:9" ht="20.100000000000001" customHeight="1" x14ac:dyDescent="0.25">
      <c r="A9" s="102">
        <v>41</v>
      </c>
      <c r="B9" s="103" t="s">
        <v>402</v>
      </c>
      <c r="C9" s="101" t="s">
        <v>828</v>
      </c>
      <c r="D9" s="260" t="s">
        <v>407</v>
      </c>
      <c r="E9" s="261">
        <v>0</v>
      </c>
      <c r="F9" s="261"/>
      <c r="G9" s="261"/>
      <c r="H9" s="175"/>
      <c r="I9" s="175"/>
    </row>
    <row r="10" spans="1:9" ht="20.100000000000001" customHeight="1" x14ac:dyDescent="0.25">
      <c r="A10" s="102">
        <v>41</v>
      </c>
      <c r="B10" s="103" t="s">
        <v>402</v>
      </c>
      <c r="C10" s="101" t="s">
        <v>827</v>
      </c>
      <c r="D10" s="260" t="s">
        <v>406</v>
      </c>
      <c r="E10" s="261">
        <v>60000</v>
      </c>
      <c r="F10" s="261">
        <v>60000</v>
      </c>
      <c r="G10" s="261">
        <v>70000</v>
      </c>
      <c r="H10" s="175">
        <v>70000</v>
      </c>
      <c r="I10" s="175"/>
    </row>
    <row r="11" spans="1:9" ht="20.100000000000001" customHeight="1" x14ac:dyDescent="0.25">
      <c r="A11" s="387" t="s">
        <v>896</v>
      </c>
      <c r="B11" s="388"/>
      <c r="C11" s="389"/>
      <c r="D11" s="390"/>
      <c r="E11" s="391">
        <f>SUM(E6:E10)</f>
        <v>1490000</v>
      </c>
      <c r="F11" s="391">
        <f t="shared" ref="F11:I11" si="1">SUM(F6:F10)</f>
        <v>1260000</v>
      </c>
      <c r="G11" s="391">
        <f>SUM(G6:G10)</f>
        <v>1346400</v>
      </c>
      <c r="H11" s="392">
        <f t="shared" si="1"/>
        <v>1346400</v>
      </c>
      <c r="I11" s="392">
        <f t="shared" si="1"/>
        <v>0</v>
      </c>
    </row>
    <row r="12" spans="1:9" ht="20.100000000000001" customHeight="1" x14ac:dyDescent="0.25">
      <c r="A12" s="102"/>
      <c r="B12" s="103"/>
      <c r="C12" s="101"/>
      <c r="D12" s="105"/>
      <c r="E12" s="174"/>
      <c r="F12" s="174"/>
      <c r="G12" s="175"/>
      <c r="H12" s="175"/>
      <c r="I12" s="175"/>
    </row>
    <row r="13" spans="1:9" ht="20.100000000000001" customHeight="1" x14ac:dyDescent="0.25">
      <c r="A13" s="102">
        <v>42</v>
      </c>
      <c r="B13" s="103" t="s">
        <v>897</v>
      </c>
      <c r="C13" s="101" t="s">
        <v>848</v>
      </c>
      <c r="D13" s="104" t="s">
        <v>121</v>
      </c>
      <c r="E13" s="175">
        <v>1500</v>
      </c>
      <c r="F13" s="175">
        <v>1500</v>
      </c>
      <c r="G13" s="175">
        <v>1500</v>
      </c>
      <c r="H13" s="175">
        <v>1500</v>
      </c>
      <c r="I13" s="175"/>
    </row>
    <row r="14" spans="1:9" ht="20.100000000000001" customHeight="1" x14ac:dyDescent="0.25">
      <c r="A14" s="102">
        <v>42</v>
      </c>
      <c r="B14" s="103" t="s">
        <v>897</v>
      </c>
      <c r="C14" s="101" t="s">
        <v>849</v>
      </c>
      <c r="D14" s="104" t="s">
        <v>429</v>
      </c>
      <c r="E14" s="175">
        <v>160000</v>
      </c>
      <c r="F14" s="175">
        <v>160000</v>
      </c>
      <c r="G14" s="175">
        <v>165000</v>
      </c>
      <c r="H14" s="175">
        <v>165000</v>
      </c>
      <c r="I14" s="175"/>
    </row>
    <row r="15" spans="1:9" ht="20.100000000000001" customHeight="1" x14ac:dyDescent="0.25">
      <c r="A15" s="102">
        <v>42</v>
      </c>
      <c r="B15" s="103" t="s">
        <v>897</v>
      </c>
      <c r="C15" s="101" t="s">
        <v>842</v>
      </c>
      <c r="D15" s="104" t="s">
        <v>422</v>
      </c>
      <c r="E15" s="175">
        <v>25000</v>
      </c>
      <c r="F15" s="175">
        <v>25000</v>
      </c>
      <c r="G15" s="175">
        <v>25000</v>
      </c>
      <c r="H15" s="175">
        <v>25000</v>
      </c>
      <c r="I15" s="175"/>
    </row>
    <row r="16" spans="1:9" ht="20.100000000000001" customHeight="1" x14ac:dyDescent="0.25">
      <c r="A16" s="102">
        <v>42</v>
      </c>
      <c r="B16" s="103" t="s">
        <v>897</v>
      </c>
      <c r="C16" s="101" t="s">
        <v>843</v>
      </c>
      <c r="D16" s="104" t="s">
        <v>423</v>
      </c>
      <c r="E16" s="175">
        <v>20000</v>
      </c>
      <c r="F16" s="175">
        <v>20000</v>
      </c>
      <c r="G16" s="175">
        <v>20000</v>
      </c>
      <c r="H16" s="175">
        <v>20000</v>
      </c>
      <c r="I16" s="175"/>
    </row>
    <row r="17" spans="1:9" ht="20.100000000000001" customHeight="1" x14ac:dyDescent="0.25">
      <c r="A17" s="102">
        <v>42</v>
      </c>
      <c r="B17" s="103" t="s">
        <v>897</v>
      </c>
      <c r="C17" s="101" t="s">
        <v>851</v>
      </c>
      <c r="D17" s="104" t="s">
        <v>431</v>
      </c>
      <c r="E17" s="175">
        <v>0</v>
      </c>
      <c r="F17" s="175">
        <v>0</v>
      </c>
      <c r="G17" s="175">
        <v>0</v>
      </c>
      <c r="H17" s="175">
        <v>0</v>
      </c>
      <c r="I17" s="175"/>
    </row>
    <row r="18" spans="1:9" ht="20.100000000000001" customHeight="1" x14ac:dyDescent="0.25">
      <c r="A18" s="102">
        <v>42</v>
      </c>
      <c r="B18" s="103" t="s">
        <v>897</v>
      </c>
      <c r="C18" s="101" t="s">
        <v>876</v>
      </c>
      <c r="D18" s="104" t="s">
        <v>200</v>
      </c>
      <c r="E18" s="175">
        <v>8000</v>
      </c>
      <c r="F18" s="175">
        <v>10000</v>
      </c>
      <c r="G18" s="175">
        <v>10000</v>
      </c>
      <c r="H18" s="175">
        <v>10000</v>
      </c>
      <c r="I18" s="175"/>
    </row>
    <row r="19" spans="1:9" ht="20.100000000000001" customHeight="1" x14ac:dyDescent="0.25">
      <c r="A19" s="387" t="s">
        <v>902</v>
      </c>
      <c r="B19" s="388"/>
      <c r="C19" s="389"/>
      <c r="D19" s="393"/>
      <c r="E19" s="392">
        <f>SUM(E13:E18)</f>
        <v>214500</v>
      </c>
      <c r="F19" s="392">
        <f t="shared" ref="F19:I19" si="2">SUM(F13:F18)</f>
        <v>216500</v>
      </c>
      <c r="G19" s="392">
        <f>SUM(G13:G18)</f>
        <v>221500</v>
      </c>
      <c r="H19" s="392">
        <f t="shared" si="2"/>
        <v>221500</v>
      </c>
      <c r="I19" s="392">
        <f t="shared" si="2"/>
        <v>0</v>
      </c>
    </row>
    <row r="20" spans="1:9" ht="20.100000000000001" customHeight="1" x14ac:dyDescent="0.25">
      <c r="A20" s="102"/>
      <c r="B20" s="103"/>
      <c r="C20" s="101"/>
      <c r="D20" s="104"/>
      <c r="E20" s="175"/>
      <c r="F20" s="175"/>
      <c r="G20" s="175"/>
      <c r="H20" s="175"/>
      <c r="I20" s="175"/>
    </row>
    <row r="21" spans="1:9" ht="20.100000000000001" customHeight="1" x14ac:dyDescent="0.25">
      <c r="A21" s="102">
        <v>43</v>
      </c>
      <c r="B21" s="103" t="s">
        <v>1279</v>
      </c>
      <c r="C21" s="101" t="s">
        <v>889</v>
      </c>
      <c r="D21" s="260" t="s">
        <v>410</v>
      </c>
      <c r="E21" s="261">
        <v>15031668</v>
      </c>
      <c r="F21" s="261">
        <v>15031668</v>
      </c>
      <c r="G21" s="261">
        <v>15031668</v>
      </c>
      <c r="H21" s="175">
        <v>15031668</v>
      </c>
      <c r="I21" s="175"/>
    </row>
    <row r="22" spans="1:9" ht="20.100000000000001" customHeight="1" x14ac:dyDescent="0.25">
      <c r="A22" s="387" t="s">
        <v>19</v>
      </c>
      <c r="B22" s="388"/>
      <c r="C22" s="389"/>
      <c r="D22" s="390"/>
      <c r="E22" s="391">
        <f>SUM(E21)</f>
        <v>15031668</v>
      </c>
      <c r="F22" s="391">
        <f t="shared" ref="F22:I22" si="3">SUM(F21)</f>
        <v>15031668</v>
      </c>
      <c r="G22" s="391">
        <f t="shared" si="3"/>
        <v>15031668</v>
      </c>
      <c r="H22" s="392">
        <f t="shared" si="3"/>
        <v>15031668</v>
      </c>
      <c r="I22" s="392">
        <f t="shared" si="3"/>
        <v>0</v>
      </c>
    </row>
    <row r="23" spans="1:9" ht="20.100000000000001" customHeight="1" x14ac:dyDescent="0.25">
      <c r="A23" s="102"/>
      <c r="B23" s="103"/>
      <c r="C23" s="101"/>
      <c r="D23" s="105"/>
      <c r="E23" s="174"/>
      <c r="F23" s="174"/>
      <c r="G23" s="175"/>
      <c r="H23" s="175"/>
      <c r="I23" s="175"/>
    </row>
    <row r="24" spans="1:9" ht="20.100000000000001" customHeight="1" x14ac:dyDescent="0.25">
      <c r="A24" s="102"/>
      <c r="B24" s="103" t="s">
        <v>411</v>
      </c>
      <c r="C24" s="101" t="s">
        <v>831</v>
      </c>
      <c r="D24" s="260" t="s">
        <v>408</v>
      </c>
      <c r="E24" s="261">
        <v>109839</v>
      </c>
      <c r="F24" s="261">
        <v>109839</v>
      </c>
      <c r="G24" s="261">
        <v>109839</v>
      </c>
      <c r="H24" s="175">
        <v>109839</v>
      </c>
      <c r="I24" s="175"/>
    </row>
    <row r="25" spans="1:9" ht="20.100000000000001" customHeight="1" x14ac:dyDescent="0.25">
      <c r="A25" s="102">
        <v>43</v>
      </c>
      <c r="B25" s="103" t="s">
        <v>411</v>
      </c>
      <c r="C25" s="101" t="s">
        <v>832</v>
      </c>
      <c r="D25" s="260" t="s">
        <v>409</v>
      </c>
      <c r="E25" s="261">
        <v>0</v>
      </c>
      <c r="F25" s="261">
        <v>0</v>
      </c>
      <c r="G25" s="261">
        <v>0</v>
      </c>
      <c r="H25" s="175">
        <v>0</v>
      </c>
      <c r="I25" s="175"/>
    </row>
    <row r="26" spans="1:9" ht="20.100000000000001" customHeight="1" x14ac:dyDescent="0.25">
      <c r="A26" s="102">
        <v>43</v>
      </c>
      <c r="B26" s="103" t="s">
        <v>411</v>
      </c>
      <c r="C26" s="101" t="s">
        <v>833</v>
      </c>
      <c r="D26" s="260" t="s">
        <v>412</v>
      </c>
      <c r="E26" s="261">
        <v>22000</v>
      </c>
      <c r="F26" s="261">
        <v>22000</v>
      </c>
      <c r="G26" s="261">
        <v>22000</v>
      </c>
      <c r="H26" s="175">
        <v>22000</v>
      </c>
      <c r="I26" s="175"/>
    </row>
    <row r="27" spans="1:9" ht="20.100000000000001" customHeight="1" x14ac:dyDescent="0.25">
      <c r="A27" s="102">
        <v>43</v>
      </c>
      <c r="B27" s="103" t="s">
        <v>411</v>
      </c>
      <c r="C27" s="101" t="s">
        <v>834</v>
      </c>
      <c r="D27" s="260" t="s">
        <v>413</v>
      </c>
      <c r="E27" s="261">
        <v>18000</v>
      </c>
      <c r="F27" s="261">
        <v>18000</v>
      </c>
      <c r="G27" s="261">
        <v>18000</v>
      </c>
      <c r="H27" s="175">
        <v>18000</v>
      </c>
      <c r="I27" s="175"/>
    </row>
    <row r="28" spans="1:9" ht="20.100000000000001" customHeight="1" x14ac:dyDescent="0.25">
      <c r="A28" s="102">
        <v>43</v>
      </c>
      <c r="B28" s="103" t="s">
        <v>411</v>
      </c>
      <c r="C28" s="101" t="s">
        <v>835</v>
      </c>
      <c r="D28" s="260" t="s">
        <v>414</v>
      </c>
      <c r="E28" s="261">
        <v>0</v>
      </c>
      <c r="F28" s="261">
        <v>0</v>
      </c>
      <c r="G28" s="261">
        <v>0</v>
      </c>
      <c r="H28" s="175">
        <v>0</v>
      </c>
      <c r="I28" s="175"/>
    </row>
    <row r="29" spans="1:9" ht="20.100000000000001" customHeight="1" x14ac:dyDescent="0.25">
      <c r="A29" s="102">
        <v>43</v>
      </c>
      <c r="B29" s="103" t="s">
        <v>411</v>
      </c>
      <c r="C29" s="101" t="s">
        <v>837</v>
      </c>
      <c r="D29" s="260" t="s">
        <v>416</v>
      </c>
      <c r="E29" s="261">
        <v>113045</v>
      </c>
      <c r="F29" s="261">
        <v>113045</v>
      </c>
      <c r="G29" s="261">
        <v>113045</v>
      </c>
      <c r="H29" s="175">
        <v>113045</v>
      </c>
      <c r="I29" s="175"/>
    </row>
    <row r="30" spans="1:9" ht="20.100000000000001" customHeight="1" x14ac:dyDescent="0.25">
      <c r="A30" s="102">
        <v>43</v>
      </c>
      <c r="B30" s="103" t="s">
        <v>411</v>
      </c>
      <c r="C30" s="101" t="s">
        <v>838</v>
      </c>
      <c r="D30" s="260" t="s">
        <v>417</v>
      </c>
      <c r="E30" s="261">
        <v>14000</v>
      </c>
      <c r="F30" s="261">
        <v>14000</v>
      </c>
      <c r="G30" s="261">
        <v>14000</v>
      </c>
      <c r="H30" s="175">
        <v>14000</v>
      </c>
      <c r="I30" s="175"/>
    </row>
    <row r="31" spans="1:9" ht="20.100000000000001" customHeight="1" x14ac:dyDescent="0.25">
      <c r="A31" s="102">
        <v>43</v>
      </c>
      <c r="B31" s="103" t="s">
        <v>411</v>
      </c>
      <c r="C31" s="101" t="s">
        <v>839</v>
      </c>
      <c r="D31" s="260" t="s">
        <v>418</v>
      </c>
      <c r="E31" s="261">
        <v>315787</v>
      </c>
      <c r="F31" s="261">
        <v>315787</v>
      </c>
      <c r="G31" s="261">
        <v>315787</v>
      </c>
      <c r="H31" s="175">
        <v>315787</v>
      </c>
      <c r="I31" s="175"/>
    </row>
    <row r="32" spans="1:9" ht="20.100000000000001" customHeight="1" x14ac:dyDescent="0.25">
      <c r="A32" s="102">
        <v>43</v>
      </c>
      <c r="B32" s="103" t="s">
        <v>411</v>
      </c>
      <c r="C32" s="101" t="s">
        <v>840</v>
      </c>
      <c r="D32" s="260" t="s">
        <v>419</v>
      </c>
      <c r="E32" s="261">
        <v>181189</v>
      </c>
      <c r="F32" s="261">
        <v>181189</v>
      </c>
      <c r="G32" s="261">
        <v>181189</v>
      </c>
      <c r="H32" s="175">
        <v>181189</v>
      </c>
      <c r="I32" s="175"/>
    </row>
    <row r="33" spans="1:9" ht="20.100000000000001" customHeight="1" x14ac:dyDescent="0.25">
      <c r="A33" s="102">
        <v>43</v>
      </c>
      <c r="B33" s="103" t="s">
        <v>411</v>
      </c>
      <c r="C33" s="101" t="s">
        <v>841</v>
      </c>
      <c r="D33" s="260" t="s">
        <v>420</v>
      </c>
      <c r="E33" s="261">
        <v>85419</v>
      </c>
      <c r="F33" s="261">
        <v>85419</v>
      </c>
      <c r="G33" s="261">
        <v>85419</v>
      </c>
      <c r="H33" s="175">
        <v>85419</v>
      </c>
      <c r="I33" s="175"/>
    </row>
    <row r="34" spans="1:9" ht="20.100000000000001" customHeight="1" x14ac:dyDescent="0.25">
      <c r="A34" s="102">
        <v>43</v>
      </c>
      <c r="B34" s="103" t="s">
        <v>411</v>
      </c>
      <c r="C34" s="101" t="s">
        <v>829</v>
      </c>
      <c r="D34" s="260" t="s">
        <v>421</v>
      </c>
      <c r="E34" s="261">
        <v>16162</v>
      </c>
      <c r="F34" s="261">
        <v>16162</v>
      </c>
      <c r="G34" s="261">
        <v>16162</v>
      </c>
      <c r="H34" s="175">
        <v>16162</v>
      </c>
      <c r="I34" s="175"/>
    </row>
    <row r="35" spans="1:9" ht="20.100000000000001" customHeight="1" x14ac:dyDescent="0.25">
      <c r="A35" s="102">
        <v>43</v>
      </c>
      <c r="B35" s="103" t="s">
        <v>411</v>
      </c>
      <c r="C35" s="101" t="s">
        <v>836</v>
      </c>
      <c r="D35" s="260" t="s">
        <v>415</v>
      </c>
      <c r="E35" s="261">
        <v>61845</v>
      </c>
      <c r="F35" s="261">
        <v>61845</v>
      </c>
      <c r="G35" s="261">
        <v>61845</v>
      </c>
      <c r="H35" s="175">
        <v>61845</v>
      </c>
      <c r="I35" s="175"/>
    </row>
    <row r="36" spans="1:9" ht="20.100000000000001" customHeight="1" x14ac:dyDescent="0.25">
      <c r="A36" s="102">
        <v>43</v>
      </c>
      <c r="B36" s="103" t="s">
        <v>411</v>
      </c>
      <c r="C36" s="101" t="s">
        <v>859</v>
      </c>
      <c r="D36" s="260" t="s">
        <v>439</v>
      </c>
      <c r="E36" s="261">
        <v>20000</v>
      </c>
      <c r="F36" s="261">
        <v>20000</v>
      </c>
      <c r="G36" s="261">
        <v>20000</v>
      </c>
      <c r="H36" s="175">
        <v>20000</v>
      </c>
      <c r="I36" s="175"/>
    </row>
    <row r="37" spans="1:9" ht="20.100000000000001" customHeight="1" x14ac:dyDescent="0.25">
      <c r="A37" s="102"/>
      <c r="B37" s="103"/>
      <c r="C37" s="101"/>
      <c r="D37" s="260" t="s">
        <v>417</v>
      </c>
      <c r="E37" s="261"/>
      <c r="F37" s="261">
        <v>1689040</v>
      </c>
      <c r="G37" s="261">
        <v>1037000</v>
      </c>
      <c r="H37" s="175">
        <v>1037000</v>
      </c>
      <c r="I37" s="175"/>
    </row>
    <row r="38" spans="1:9" ht="20.100000000000001" customHeight="1" x14ac:dyDescent="0.25">
      <c r="A38" s="387" t="s">
        <v>903</v>
      </c>
      <c r="B38" s="388"/>
      <c r="C38" s="389"/>
      <c r="D38" s="393"/>
      <c r="E38" s="392">
        <f>SUM(E24:E36)</f>
        <v>957286</v>
      </c>
      <c r="F38" s="392">
        <f>SUM(F24:F37)</f>
        <v>2646326</v>
      </c>
      <c r="G38" s="392">
        <f>SUM(G24:G37)</f>
        <v>1994286</v>
      </c>
      <c r="H38" s="392">
        <f>SUM(H24:H37)</f>
        <v>1994286</v>
      </c>
      <c r="I38" s="392">
        <f t="shared" ref="H38:I38" si="4">SUM(I24:I36)</f>
        <v>0</v>
      </c>
    </row>
    <row r="39" spans="1:9" ht="20.100000000000001" customHeight="1" x14ac:dyDescent="0.25">
      <c r="A39" s="102"/>
      <c r="B39" s="103"/>
      <c r="C39" s="101"/>
      <c r="D39" s="104"/>
      <c r="E39" s="175"/>
      <c r="F39" s="175"/>
      <c r="G39" s="175"/>
      <c r="H39" s="175"/>
      <c r="I39" s="175"/>
    </row>
    <row r="40" spans="1:9" ht="20.100000000000001" customHeight="1" x14ac:dyDescent="0.25">
      <c r="A40" s="102">
        <v>44</v>
      </c>
      <c r="B40" s="103" t="s">
        <v>428</v>
      </c>
      <c r="C40" s="101" t="s">
        <v>869</v>
      </c>
      <c r="D40" s="104" t="s">
        <v>158</v>
      </c>
      <c r="E40" s="175">
        <v>0</v>
      </c>
      <c r="F40" s="175"/>
      <c r="G40" s="175"/>
      <c r="H40" s="175"/>
      <c r="I40" s="175"/>
    </row>
    <row r="41" spans="1:9" ht="20.100000000000001" customHeight="1" x14ac:dyDescent="0.25">
      <c r="A41" s="102">
        <v>44</v>
      </c>
      <c r="B41" s="103" t="s">
        <v>428</v>
      </c>
      <c r="C41" s="101" t="s">
        <v>870</v>
      </c>
      <c r="D41" s="104" t="s">
        <v>448</v>
      </c>
      <c r="E41" s="175">
        <v>0</v>
      </c>
      <c r="F41" s="175"/>
      <c r="G41" s="175"/>
      <c r="H41" s="175"/>
      <c r="I41" s="175"/>
    </row>
    <row r="42" spans="1:9" ht="20.100000000000001" customHeight="1" x14ac:dyDescent="0.25">
      <c r="A42" s="102">
        <v>44</v>
      </c>
      <c r="B42" s="103" t="s">
        <v>428</v>
      </c>
      <c r="C42" s="101" t="s">
        <v>871</v>
      </c>
      <c r="D42" s="104" t="s">
        <v>1433</v>
      </c>
      <c r="E42" s="175">
        <v>400000</v>
      </c>
      <c r="F42" s="175">
        <v>450000</v>
      </c>
      <c r="G42" s="175">
        <v>450000</v>
      </c>
      <c r="H42" s="175">
        <v>450000</v>
      </c>
      <c r="I42" s="175"/>
    </row>
    <row r="43" spans="1:9" ht="20.100000000000001" customHeight="1" x14ac:dyDescent="0.25">
      <c r="A43" s="102">
        <v>44</v>
      </c>
      <c r="B43" s="103" t="s">
        <v>428</v>
      </c>
      <c r="C43" s="101" t="s">
        <v>857</v>
      </c>
      <c r="D43" s="104" t="s">
        <v>437</v>
      </c>
      <c r="E43" s="175">
        <v>2000</v>
      </c>
      <c r="F43" s="175">
        <v>2000</v>
      </c>
      <c r="G43" s="175">
        <v>2000</v>
      </c>
      <c r="H43" s="175">
        <v>2000</v>
      </c>
      <c r="I43" s="175"/>
    </row>
    <row r="44" spans="1:9" ht="20.100000000000001" customHeight="1" x14ac:dyDescent="0.25">
      <c r="A44" s="102">
        <v>44</v>
      </c>
      <c r="B44" s="103" t="s">
        <v>428</v>
      </c>
      <c r="C44" s="101" t="s">
        <v>887</v>
      </c>
      <c r="D44" s="104" t="s">
        <v>462</v>
      </c>
      <c r="E44" s="175">
        <v>60000</v>
      </c>
      <c r="F44" s="175">
        <v>60000</v>
      </c>
      <c r="G44" s="175">
        <v>60000</v>
      </c>
      <c r="H44" s="175">
        <v>60000</v>
      </c>
      <c r="I44" s="175"/>
    </row>
    <row r="45" spans="1:9" ht="20.100000000000001" customHeight="1" x14ac:dyDescent="0.25">
      <c r="A45" s="102">
        <v>44</v>
      </c>
      <c r="B45" s="103" t="s">
        <v>428</v>
      </c>
      <c r="C45" s="101" t="s">
        <v>847</v>
      </c>
      <c r="D45" s="104" t="s">
        <v>427</v>
      </c>
      <c r="E45" s="175">
        <v>12000</v>
      </c>
      <c r="F45" s="175">
        <v>12000</v>
      </c>
      <c r="G45" s="175">
        <v>12000</v>
      </c>
      <c r="H45" s="175">
        <v>12000</v>
      </c>
      <c r="I45" s="175"/>
    </row>
    <row r="46" spans="1:9" ht="20.100000000000001" customHeight="1" x14ac:dyDescent="0.25">
      <c r="A46" s="102">
        <v>44</v>
      </c>
      <c r="B46" s="103" t="s">
        <v>428</v>
      </c>
      <c r="C46" s="101" t="s">
        <v>872</v>
      </c>
      <c r="D46" s="104" t="s">
        <v>449</v>
      </c>
      <c r="E46" s="175">
        <v>300000</v>
      </c>
      <c r="F46" s="175">
        <v>300000</v>
      </c>
      <c r="G46" s="175">
        <v>300000</v>
      </c>
      <c r="H46" s="175">
        <v>300000</v>
      </c>
      <c r="I46" s="175"/>
    </row>
    <row r="47" spans="1:9" ht="20.100000000000001" customHeight="1" x14ac:dyDescent="0.25">
      <c r="A47" s="102">
        <v>44</v>
      </c>
      <c r="B47" s="103" t="s">
        <v>428</v>
      </c>
      <c r="C47" s="101" t="s">
        <v>874</v>
      </c>
      <c r="D47" s="104" t="s">
        <v>451</v>
      </c>
      <c r="E47" s="175">
        <v>12000</v>
      </c>
      <c r="F47" s="175">
        <v>12000</v>
      </c>
      <c r="G47" s="175">
        <v>12000</v>
      </c>
      <c r="H47" s="175">
        <v>12000</v>
      </c>
      <c r="I47" s="175"/>
    </row>
    <row r="48" spans="1:9" ht="20.100000000000001" customHeight="1" x14ac:dyDescent="0.25">
      <c r="A48" s="102">
        <v>44</v>
      </c>
      <c r="B48" s="103" t="s">
        <v>428</v>
      </c>
      <c r="C48" s="101" t="s">
        <v>883</v>
      </c>
      <c r="D48" s="104" t="s">
        <v>459</v>
      </c>
      <c r="E48" s="175">
        <v>1000</v>
      </c>
      <c r="F48" s="175">
        <v>1000</v>
      </c>
      <c r="G48" s="175">
        <v>1000</v>
      </c>
      <c r="H48" s="175">
        <v>1000</v>
      </c>
      <c r="I48" s="175"/>
    </row>
    <row r="49" spans="1:9" ht="20.100000000000001" customHeight="1" x14ac:dyDescent="0.25">
      <c r="A49" s="102">
        <v>44</v>
      </c>
      <c r="B49" s="103" t="s">
        <v>428</v>
      </c>
      <c r="C49" s="101" t="s">
        <v>879</v>
      </c>
      <c r="D49" s="260" t="s">
        <v>456</v>
      </c>
      <c r="E49" s="261">
        <v>760000</v>
      </c>
      <c r="F49" s="261">
        <v>775000</v>
      </c>
      <c r="G49" s="261">
        <v>775000</v>
      </c>
      <c r="H49" s="175">
        <v>775000</v>
      </c>
      <c r="I49" s="175"/>
    </row>
    <row r="50" spans="1:9" ht="20.100000000000001" customHeight="1" x14ac:dyDescent="0.25">
      <c r="A50" s="102">
        <v>44</v>
      </c>
      <c r="B50" s="103" t="s">
        <v>428</v>
      </c>
      <c r="C50" s="101" t="s">
        <v>855</v>
      </c>
      <c r="D50" s="104" t="s">
        <v>435</v>
      </c>
      <c r="E50" s="175">
        <v>2000</v>
      </c>
      <c r="F50" s="175">
        <v>2000</v>
      </c>
      <c r="G50" s="175">
        <v>2000</v>
      </c>
      <c r="H50" s="175">
        <v>2000</v>
      </c>
      <c r="I50" s="175"/>
    </row>
    <row r="51" spans="1:9" ht="20.100000000000001" customHeight="1" x14ac:dyDescent="0.25">
      <c r="A51" s="102">
        <v>44</v>
      </c>
      <c r="B51" s="103" t="s">
        <v>428</v>
      </c>
      <c r="C51" s="101" t="s">
        <v>850</v>
      </c>
      <c r="D51" s="104" t="s">
        <v>430</v>
      </c>
      <c r="E51" s="175">
        <v>75000</v>
      </c>
      <c r="F51" s="175">
        <v>75000</v>
      </c>
      <c r="G51" s="261">
        <v>75000</v>
      </c>
      <c r="H51" s="175">
        <v>75000</v>
      </c>
      <c r="I51" s="175"/>
    </row>
    <row r="52" spans="1:9" ht="20.100000000000001" customHeight="1" x14ac:dyDescent="0.25">
      <c r="A52" s="102">
        <v>44</v>
      </c>
      <c r="B52" s="103" t="s">
        <v>428</v>
      </c>
      <c r="C52" s="101" t="s">
        <v>866</v>
      </c>
      <c r="D52" s="104" t="s">
        <v>445</v>
      </c>
      <c r="E52" s="175">
        <v>0</v>
      </c>
      <c r="F52" s="175"/>
      <c r="G52" s="175"/>
      <c r="H52" s="175"/>
      <c r="I52" s="175"/>
    </row>
    <row r="53" spans="1:9" ht="20.100000000000001" customHeight="1" x14ac:dyDescent="0.25">
      <c r="A53" s="102">
        <v>44</v>
      </c>
      <c r="B53" s="103" t="s">
        <v>428</v>
      </c>
      <c r="C53" s="101" t="s">
        <v>867</v>
      </c>
      <c r="D53" s="104" t="s">
        <v>446</v>
      </c>
      <c r="E53" s="175">
        <v>0</v>
      </c>
      <c r="F53" s="175"/>
      <c r="G53" s="175"/>
      <c r="H53" s="175"/>
      <c r="I53" s="175"/>
    </row>
    <row r="54" spans="1:9" ht="20.100000000000001" customHeight="1" x14ac:dyDescent="0.25">
      <c r="A54" s="102">
        <v>44</v>
      </c>
      <c r="B54" s="103" t="s">
        <v>428</v>
      </c>
      <c r="C54" s="101" t="s">
        <v>868</v>
      </c>
      <c r="D54" s="104" t="s">
        <v>447</v>
      </c>
      <c r="E54" s="175">
        <v>0</v>
      </c>
      <c r="F54" s="175"/>
      <c r="G54" s="175"/>
      <c r="H54" s="175"/>
      <c r="I54" s="175"/>
    </row>
    <row r="55" spans="1:9" ht="20.100000000000001" customHeight="1" x14ac:dyDescent="0.25">
      <c r="A55" s="102">
        <v>44</v>
      </c>
      <c r="B55" s="103" t="s">
        <v>428</v>
      </c>
      <c r="C55" s="101" t="s">
        <v>865</v>
      </c>
      <c r="D55" s="104" t="s">
        <v>444</v>
      </c>
      <c r="E55" s="175">
        <v>0</v>
      </c>
      <c r="F55" s="175"/>
      <c r="G55" s="175"/>
      <c r="H55" s="175"/>
      <c r="I55" s="175"/>
    </row>
    <row r="56" spans="1:9" ht="20.100000000000001" customHeight="1" x14ac:dyDescent="0.25">
      <c r="A56" s="387" t="s">
        <v>904</v>
      </c>
      <c r="B56" s="388"/>
      <c r="C56" s="389"/>
      <c r="D56" s="393"/>
      <c r="E56" s="392">
        <f>SUM(E40:E55)</f>
        <v>1624000</v>
      </c>
      <c r="F56" s="392">
        <f t="shared" ref="F56:I56" si="5">SUM(F40:F55)</f>
        <v>1689000</v>
      </c>
      <c r="G56" s="392">
        <f>SUM(G42:G55)</f>
        <v>1689000</v>
      </c>
      <c r="H56" s="392">
        <f t="shared" si="5"/>
        <v>1689000</v>
      </c>
      <c r="I56" s="392">
        <f t="shared" si="5"/>
        <v>0</v>
      </c>
    </row>
    <row r="57" spans="1:9" ht="20.100000000000001" customHeight="1" x14ac:dyDescent="0.25">
      <c r="A57" s="102"/>
      <c r="B57" s="103"/>
      <c r="C57" s="101"/>
      <c r="D57" s="104"/>
      <c r="E57" s="175"/>
      <c r="F57" s="175"/>
      <c r="G57" s="175"/>
      <c r="H57" s="175"/>
      <c r="I57" s="175"/>
    </row>
    <row r="58" spans="1:9" ht="20.100000000000001" customHeight="1" x14ac:dyDescent="0.25">
      <c r="A58" s="102">
        <v>45</v>
      </c>
      <c r="B58" s="103" t="s">
        <v>898</v>
      </c>
      <c r="C58" s="101" t="s">
        <v>854</v>
      </c>
      <c r="D58" s="104" t="s">
        <v>434</v>
      </c>
      <c r="E58" s="175">
        <v>0</v>
      </c>
      <c r="F58" s="175">
        <v>0</v>
      </c>
      <c r="G58" s="175"/>
      <c r="H58" s="175"/>
      <c r="I58" s="175"/>
    </row>
    <row r="59" spans="1:9" ht="20.100000000000001" customHeight="1" x14ac:dyDescent="0.25">
      <c r="A59" s="102">
        <v>45</v>
      </c>
      <c r="B59" s="103" t="s">
        <v>898</v>
      </c>
      <c r="C59" s="101" t="s">
        <v>844</v>
      </c>
      <c r="D59" s="260" t="s">
        <v>424</v>
      </c>
      <c r="E59" s="261">
        <v>400000</v>
      </c>
      <c r="F59" s="261">
        <v>150000</v>
      </c>
      <c r="G59" s="261">
        <v>150000</v>
      </c>
      <c r="H59" s="175">
        <v>150000</v>
      </c>
      <c r="I59" s="175"/>
    </row>
    <row r="60" spans="1:9" ht="20.100000000000001" customHeight="1" x14ac:dyDescent="0.25">
      <c r="A60" s="102">
        <v>45</v>
      </c>
      <c r="B60" s="103" t="s">
        <v>898</v>
      </c>
      <c r="C60" s="101" t="s">
        <v>845</v>
      </c>
      <c r="D60" s="106" t="s">
        <v>425</v>
      </c>
      <c r="E60" s="175">
        <v>5000</v>
      </c>
      <c r="F60" s="175">
        <v>5000</v>
      </c>
      <c r="G60" s="175">
        <v>26600</v>
      </c>
      <c r="H60" s="175">
        <v>26600</v>
      </c>
      <c r="I60" s="175"/>
    </row>
    <row r="61" spans="1:9" ht="20.100000000000001" customHeight="1" x14ac:dyDescent="0.25">
      <c r="A61" s="102">
        <v>45</v>
      </c>
      <c r="B61" s="103" t="s">
        <v>898</v>
      </c>
      <c r="C61" s="101" t="s">
        <v>873</v>
      </c>
      <c r="D61" s="104" t="s">
        <v>450</v>
      </c>
      <c r="E61" s="175">
        <v>19000</v>
      </c>
      <c r="F61" s="175">
        <v>19000</v>
      </c>
      <c r="G61" s="175">
        <v>19000</v>
      </c>
      <c r="H61" s="175">
        <v>19000</v>
      </c>
      <c r="I61" s="175"/>
    </row>
    <row r="62" spans="1:9" ht="20.100000000000001" customHeight="1" x14ac:dyDescent="0.25">
      <c r="A62" s="387" t="s">
        <v>905</v>
      </c>
      <c r="B62" s="388"/>
      <c r="C62" s="389"/>
      <c r="D62" s="393"/>
      <c r="E62" s="392">
        <f>SUM(E58:E61)</f>
        <v>424000</v>
      </c>
      <c r="F62" s="392">
        <f t="shared" ref="F62:I62" si="6">SUM(F58:F61)</f>
        <v>174000</v>
      </c>
      <c r="G62" s="392">
        <f>SUM(G59:G61)</f>
        <v>195600</v>
      </c>
      <c r="H62" s="392">
        <f t="shared" si="6"/>
        <v>195600</v>
      </c>
      <c r="I62" s="392">
        <f t="shared" si="6"/>
        <v>0</v>
      </c>
    </row>
    <row r="63" spans="1:9" ht="20.100000000000001" customHeight="1" x14ac:dyDescent="0.25">
      <c r="A63" s="102"/>
      <c r="B63" s="103"/>
      <c r="C63" s="101"/>
      <c r="D63" s="104"/>
      <c r="E63" s="175"/>
      <c r="F63" s="175"/>
      <c r="G63" s="175"/>
      <c r="H63" s="175"/>
      <c r="I63" s="175"/>
    </row>
    <row r="64" spans="1:9" ht="20.100000000000001" customHeight="1" x14ac:dyDescent="0.25">
      <c r="A64" s="102">
        <v>47</v>
      </c>
      <c r="B64" s="103" t="s">
        <v>899</v>
      </c>
      <c r="C64" s="101" t="s">
        <v>853</v>
      </c>
      <c r="D64" s="104" t="s">
        <v>433</v>
      </c>
      <c r="E64" s="175">
        <v>20000</v>
      </c>
      <c r="F64" s="175">
        <v>20000</v>
      </c>
      <c r="G64" s="175">
        <v>20000</v>
      </c>
      <c r="H64" s="175">
        <v>20000</v>
      </c>
      <c r="I64" s="175"/>
    </row>
    <row r="65" spans="1:9" ht="20.100000000000001" customHeight="1" x14ac:dyDescent="0.25">
      <c r="A65" s="102">
        <v>47</v>
      </c>
      <c r="B65" s="103" t="s">
        <v>899</v>
      </c>
      <c r="C65" s="101" t="s">
        <v>861</v>
      </c>
      <c r="D65" s="104" t="s">
        <v>441</v>
      </c>
      <c r="E65" s="175">
        <v>0</v>
      </c>
      <c r="F65" s="175">
        <v>0</v>
      </c>
      <c r="G65" s="175">
        <v>0</v>
      </c>
      <c r="H65" s="175">
        <v>0</v>
      </c>
      <c r="I65" s="175"/>
    </row>
    <row r="66" spans="1:9" ht="20.100000000000001" customHeight="1" x14ac:dyDescent="0.25">
      <c r="A66" s="102">
        <v>47</v>
      </c>
      <c r="B66" s="103" t="s">
        <v>899</v>
      </c>
      <c r="C66" s="101" t="s">
        <v>862</v>
      </c>
      <c r="D66" s="104" t="s">
        <v>442</v>
      </c>
      <c r="E66" s="175">
        <v>7200</v>
      </c>
      <c r="F66" s="175">
        <v>7200</v>
      </c>
      <c r="G66" s="175">
        <v>7200</v>
      </c>
      <c r="H66" s="175">
        <v>7200</v>
      </c>
      <c r="I66" s="175"/>
    </row>
    <row r="67" spans="1:9" ht="20.100000000000001" customHeight="1" x14ac:dyDescent="0.25">
      <c r="A67" s="102">
        <v>47</v>
      </c>
      <c r="B67" s="103" t="s">
        <v>899</v>
      </c>
      <c r="C67" s="101" t="s">
        <v>863</v>
      </c>
      <c r="D67" s="104" t="s">
        <v>443</v>
      </c>
      <c r="E67" s="175">
        <v>0</v>
      </c>
      <c r="F67" s="175">
        <v>0</v>
      </c>
      <c r="G67" s="175">
        <v>0</v>
      </c>
      <c r="H67" s="175">
        <v>0</v>
      </c>
      <c r="I67" s="175"/>
    </row>
    <row r="68" spans="1:9" ht="20.100000000000001" customHeight="1" x14ac:dyDescent="0.25">
      <c r="A68" s="387" t="s">
        <v>906</v>
      </c>
      <c r="B68" s="388"/>
      <c r="C68" s="389"/>
      <c r="D68" s="393"/>
      <c r="E68" s="392">
        <f>SUM(E64:E67)</f>
        <v>27200</v>
      </c>
      <c r="F68" s="392">
        <f t="shared" ref="F68:I68" si="7">SUM(F64:F67)</f>
        <v>27200</v>
      </c>
      <c r="G68" s="392">
        <f t="shared" si="7"/>
        <v>27200</v>
      </c>
      <c r="H68" s="392">
        <f t="shared" si="7"/>
        <v>27200</v>
      </c>
      <c r="I68" s="392">
        <f t="shared" si="7"/>
        <v>0</v>
      </c>
    </row>
    <row r="69" spans="1:9" ht="20.100000000000001" customHeight="1" x14ac:dyDescent="0.25">
      <c r="A69" s="102"/>
      <c r="B69" s="103"/>
      <c r="C69" s="101"/>
      <c r="D69" s="104"/>
      <c r="E69" s="175"/>
      <c r="F69" s="175"/>
      <c r="G69" s="175"/>
      <c r="H69" s="175"/>
      <c r="I69" s="175"/>
    </row>
    <row r="70" spans="1:9" ht="20.100000000000001" customHeight="1" x14ac:dyDescent="0.25">
      <c r="A70" s="102">
        <v>48</v>
      </c>
      <c r="B70" s="103" t="s">
        <v>900</v>
      </c>
      <c r="C70" s="101" t="s">
        <v>856</v>
      </c>
      <c r="D70" s="104" t="s">
        <v>436</v>
      </c>
      <c r="E70" s="175">
        <v>50000</v>
      </c>
      <c r="F70" s="175">
        <v>50000</v>
      </c>
      <c r="G70" s="175">
        <v>50000</v>
      </c>
      <c r="H70" s="175">
        <v>50000</v>
      </c>
      <c r="I70" s="175"/>
    </row>
    <row r="71" spans="1:9" ht="20.100000000000001" customHeight="1" x14ac:dyDescent="0.25">
      <c r="A71" s="102">
        <v>48</v>
      </c>
      <c r="B71" s="103" t="s">
        <v>900</v>
      </c>
      <c r="C71" s="101" t="s">
        <v>858</v>
      </c>
      <c r="D71" s="104" t="s">
        <v>438</v>
      </c>
      <c r="E71" s="175">
        <v>1000</v>
      </c>
      <c r="F71" s="175">
        <v>1000</v>
      </c>
      <c r="G71" s="175">
        <v>1000</v>
      </c>
      <c r="H71" s="175">
        <v>1000</v>
      </c>
      <c r="I71" s="175"/>
    </row>
    <row r="72" spans="1:9" ht="20.100000000000001" customHeight="1" x14ac:dyDescent="0.25">
      <c r="A72" s="107">
        <v>48</v>
      </c>
      <c r="B72" s="103" t="s">
        <v>900</v>
      </c>
      <c r="C72" s="101" t="s">
        <v>890</v>
      </c>
      <c r="D72" s="260" t="s">
        <v>891</v>
      </c>
      <c r="E72" s="261">
        <v>50669</v>
      </c>
      <c r="F72" s="261">
        <v>0</v>
      </c>
      <c r="G72" s="261">
        <v>25000</v>
      </c>
      <c r="H72" s="175">
        <v>25000</v>
      </c>
      <c r="I72" s="175"/>
    </row>
    <row r="73" spans="1:9" ht="20.100000000000001" customHeight="1" x14ac:dyDescent="0.25">
      <c r="A73" s="102">
        <v>48</v>
      </c>
      <c r="B73" s="103" t="s">
        <v>900</v>
      </c>
      <c r="C73" s="101" t="s">
        <v>864</v>
      </c>
      <c r="D73" s="104" t="s">
        <v>386</v>
      </c>
      <c r="E73" s="175">
        <v>500</v>
      </c>
      <c r="F73" s="175">
        <v>500</v>
      </c>
      <c r="G73" s="175">
        <v>500</v>
      </c>
      <c r="H73" s="175">
        <v>500</v>
      </c>
      <c r="I73" s="175"/>
    </row>
    <row r="74" spans="1:9" ht="20.100000000000001" customHeight="1" x14ac:dyDescent="0.25">
      <c r="A74" s="102">
        <v>48</v>
      </c>
      <c r="B74" s="103" t="s">
        <v>900</v>
      </c>
      <c r="C74" s="101" t="s">
        <v>886</v>
      </c>
      <c r="D74" s="104" t="s">
        <v>461</v>
      </c>
      <c r="E74" s="175">
        <v>0</v>
      </c>
      <c r="F74" s="175"/>
      <c r="G74" s="175"/>
      <c r="H74" s="175"/>
      <c r="I74" s="175"/>
    </row>
    <row r="75" spans="1:9" ht="20.100000000000001" customHeight="1" x14ac:dyDescent="0.25">
      <c r="A75" s="102">
        <v>48</v>
      </c>
      <c r="B75" s="103" t="s">
        <v>900</v>
      </c>
      <c r="C75" s="101" t="s">
        <v>846</v>
      </c>
      <c r="D75" s="104" t="s">
        <v>426</v>
      </c>
      <c r="E75" s="175">
        <v>5000</v>
      </c>
      <c r="F75" s="175">
        <v>5000</v>
      </c>
      <c r="G75" s="175">
        <v>5000</v>
      </c>
      <c r="H75" s="175">
        <v>5000</v>
      </c>
      <c r="I75" s="175"/>
    </row>
    <row r="76" spans="1:9" ht="20.100000000000001" customHeight="1" x14ac:dyDescent="0.25">
      <c r="A76" s="107">
        <v>48</v>
      </c>
      <c r="B76" s="103" t="s">
        <v>900</v>
      </c>
      <c r="C76" s="101" t="s">
        <v>894</v>
      </c>
      <c r="D76" s="104" t="s">
        <v>895</v>
      </c>
      <c r="E76" s="175"/>
      <c r="F76" s="175"/>
      <c r="G76" s="175"/>
      <c r="H76" s="175"/>
      <c r="I76" s="175"/>
    </row>
    <row r="77" spans="1:9" ht="20.100000000000001" customHeight="1" x14ac:dyDescent="0.25">
      <c r="A77" s="102">
        <v>48</v>
      </c>
      <c r="B77" s="103" t="s">
        <v>900</v>
      </c>
      <c r="C77" s="101" t="s">
        <v>830</v>
      </c>
      <c r="D77" s="104" t="s">
        <v>338</v>
      </c>
      <c r="E77" s="175">
        <v>0</v>
      </c>
      <c r="F77" s="175"/>
      <c r="G77" s="175"/>
      <c r="H77" s="175"/>
      <c r="I77" s="175"/>
    </row>
    <row r="78" spans="1:9" ht="20.100000000000001" customHeight="1" x14ac:dyDescent="0.25">
      <c r="A78" s="102">
        <v>48</v>
      </c>
      <c r="B78" s="103" t="s">
        <v>900</v>
      </c>
      <c r="C78" s="101" t="s">
        <v>852</v>
      </c>
      <c r="D78" s="104" t="s">
        <v>432</v>
      </c>
      <c r="E78" s="175">
        <v>6000</v>
      </c>
      <c r="F78" s="175">
        <v>6000</v>
      </c>
      <c r="G78" s="175">
        <v>6000</v>
      </c>
      <c r="H78" s="175">
        <v>6000</v>
      </c>
      <c r="I78" s="175"/>
    </row>
    <row r="79" spans="1:9" ht="20.100000000000001" customHeight="1" x14ac:dyDescent="0.25">
      <c r="A79" s="102">
        <v>48</v>
      </c>
      <c r="B79" s="103" t="s">
        <v>900</v>
      </c>
      <c r="C79" s="101" t="s">
        <v>877</v>
      </c>
      <c r="D79" s="104" t="s">
        <v>453</v>
      </c>
      <c r="E79" s="175">
        <v>0</v>
      </c>
      <c r="F79" s="175"/>
      <c r="G79" s="175"/>
      <c r="H79" s="175"/>
      <c r="I79" s="175"/>
    </row>
    <row r="80" spans="1:9" ht="20.100000000000001" customHeight="1" x14ac:dyDescent="0.25">
      <c r="A80" s="102">
        <v>48</v>
      </c>
      <c r="B80" s="103" t="s">
        <v>900</v>
      </c>
      <c r="C80" s="101" t="s">
        <v>875</v>
      </c>
      <c r="D80" s="104" t="s">
        <v>452</v>
      </c>
      <c r="E80" s="175">
        <v>12000</v>
      </c>
      <c r="F80" s="175">
        <v>12000</v>
      </c>
      <c r="G80" s="175">
        <v>12000</v>
      </c>
      <c r="H80" s="175">
        <v>12000</v>
      </c>
      <c r="I80" s="175"/>
    </row>
    <row r="81" spans="1:9" ht="20.100000000000001" customHeight="1" x14ac:dyDescent="0.25">
      <c r="A81" s="102">
        <v>48</v>
      </c>
      <c r="B81" s="103" t="s">
        <v>900</v>
      </c>
      <c r="C81" s="101" t="s">
        <v>860</v>
      </c>
      <c r="D81" s="104" t="s">
        <v>440</v>
      </c>
      <c r="E81" s="175">
        <v>50000</v>
      </c>
      <c r="F81" s="175">
        <v>50000</v>
      </c>
      <c r="G81" s="175">
        <v>50000</v>
      </c>
      <c r="H81" s="175">
        <v>50000</v>
      </c>
      <c r="I81" s="175"/>
    </row>
    <row r="82" spans="1:9" ht="20.100000000000001" customHeight="1" x14ac:dyDescent="0.25">
      <c r="A82" s="102">
        <v>48</v>
      </c>
      <c r="B82" s="103" t="s">
        <v>900</v>
      </c>
      <c r="C82" s="101" t="s">
        <v>885</v>
      </c>
      <c r="D82" s="104" t="s">
        <v>455</v>
      </c>
      <c r="E82" s="175">
        <v>0</v>
      </c>
      <c r="F82" s="175"/>
      <c r="G82" s="175"/>
      <c r="H82" s="175"/>
      <c r="I82" s="175"/>
    </row>
    <row r="83" spans="1:9" ht="20.100000000000001" customHeight="1" x14ac:dyDescent="0.25">
      <c r="A83" s="102">
        <v>48</v>
      </c>
      <c r="B83" s="103" t="s">
        <v>900</v>
      </c>
      <c r="C83" s="101" t="s">
        <v>884</v>
      </c>
      <c r="D83" s="104" t="s">
        <v>460</v>
      </c>
      <c r="E83" s="175">
        <v>100000</v>
      </c>
      <c r="F83" s="175">
        <v>100000</v>
      </c>
      <c r="G83" s="175">
        <v>100000</v>
      </c>
      <c r="H83" s="175">
        <v>100000</v>
      </c>
      <c r="I83" s="175"/>
    </row>
    <row r="84" spans="1:9" ht="20.100000000000001" customHeight="1" x14ac:dyDescent="0.25">
      <c r="A84" s="102">
        <v>48</v>
      </c>
      <c r="B84" s="103" t="s">
        <v>900</v>
      </c>
      <c r="C84" s="101" t="s">
        <v>878</v>
      </c>
      <c r="D84" s="104" t="s">
        <v>454</v>
      </c>
      <c r="E84" s="175">
        <v>2000</v>
      </c>
      <c r="F84" s="175"/>
      <c r="G84" s="175"/>
      <c r="H84" s="175"/>
      <c r="I84" s="175"/>
    </row>
    <row r="85" spans="1:9" ht="20.100000000000001" customHeight="1" x14ac:dyDescent="0.25">
      <c r="A85" s="102">
        <v>48</v>
      </c>
      <c r="B85" s="103" t="s">
        <v>900</v>
      </c>
      <c r="C85" s="101" t="s">
        <v>880</v>
      </c>
      <c r="D85" s="104" t="s">
        <v>457</v>
      </c>
      <c r="E85" s="175">
        <v>175000</v>
      </c>
      <c r="F85" s="175">
        <v>175000</v>
      </c>
      <c r="G85" s="175">
        <v>175000</v>
      </c>
      <c r="H85" s="175">
        <v>175000</v>
      </c>
      <c r="I85" s="175"/>
    </row>
    <row r="86" spans="1:9" ht="20.100000000000001" customHeight="1" x14ac:dyDescent="0.25">
      <c r="A86" s="387" t="s">
        <v>907</v>
      </c>
      <c r="B86" s="388"/>
      <c r="C86" s="389"/>
      <c r="D86" s="393"/>
      <c r="E86" s="392">
        <f>SUM(E70:E85)</f>
        <v>452169</v>
      </c>
      <c r="F86" s="392">
        <f t="shared" ref="F86:I86" si="8">SUM(F70:F85)</f>
        <v>399500</v>
      </c>
      <c r="G86" s="392">
        <f>SUM(G70:G85)</f>
        <v>424500</v>
      </c>
      <c r="H86" s="392">
        <f t="shared" si="8"/>
        <v>424500</v>
      </c>
      <c r="I86" s="392">
        <f t="shared" si="8"/>
        <v>0</v>
      </c>
    </row>
    <row r="87" spans="1:9" ht="20.100000000000001" customHeight="1" x14ac:dyDescent="0.25">
      <c r="A87" s="102"/>
      <c r="B87" s="103"/>
      <c r="C87" s="101"/>
      <c r="D87" s="104"/>
      <c r="E87" s="175"/>
      <c r="F87" s="175"/>
      <c r="G87" s="175"/>
      <c r="H87" s="175"/>
      <c r="I87" s="175"/>
    </row>
    <row r="88" spans="1:9" ht="20.100000000000001" customHeight="1" x14ac:dyDescent="0.25">
      <c r="A88" s="102">
        <v>49</v>
      </c>
      <c r="B88" s="103" t="s">
        <v>901</v>
      </c>
      <c r="C88" s="101" t="s">
        <v>881</v>
      </c>
      <c r="D88" s="260" t="s">
        <v>458</v>
      </c>
      <c r="E88" s="261">
        <v>625000</v>
      </c>
      <c r="F88" s="261">
        <v>325000</v>
      </c>
      <c r="G88" s="261">
        <v>380500</v>
      </c>
      <c r="H88" s="175">
        <v>380500</v>
      </c>
      <c r="I88" s="175"/>
    </row>
    <row r="89" spans="1:9" ht="20.100000000000001" customHeight="1" x14ac:dyDescent="0.25">
      <c r="A89" s="102">
        <v>49</v>
      </c>
      <c r="B89" s="103" t="s">
        <v>901</v>
      </c>
      <c r="C89" s="101" t="s">
        <v>882</v>
      </c>
      <c r="D89" s="260" t="s">
        <v>1328</v>
      </c>
      <c r="E89" s="261">
        <v>150000</v>
      </c>
      <c r="F89" s="261">
        <v>320000</v>
      </c>
      <c r="G89" s="261">
        <v>320000</v>
      </c>
      <c r="H89" s="175">
        <v>320000</v>
      </c>
      <c r="I89" s="175"/>
    </row>
    <row r="90" spans="1:9" ht="20.100000000000001" customHeight="1" x14ac:dyDescent="0.25">
      <c r="A90" s="102"/>
      <c r="B90" s="103"/>
      <c r="C90" s="101"/>
      <c r="D90" s="260" t="s">
        <v>1329</v>
      </c>
      <c r="E90" s="261"/>
      <c r="F90" s="261">
        <v>160000</v>
      </c>
      <c r="G90" s="261">
        <v>160000</v>
      </c>
      <c r="H90" s="175">
        <v>160000</v>
      </c>
      <c r="I90" s="175"/>
    </row>
    <row r="91" spans="1:9" ht="20.100000000000001" customHeight="1" x14ac:dyDescent="0.25">
      <c r="A91" s="107">
        <v>49</v>
      </c>
      <c r="B91" s="103" t="s">
        <v>901</v>
      </c>
      <c r="C91" s="101" t="s">
        <v>892</v>
      </c>
      <c r="D91" s="260" t="s">
        <v>893</v>
      </c>
      <c r="E91" s="261"/>
      <c r="F91" s="261"/>
      <c r="G91" s="261"/>
      <c r="H91" s="175"/>
      <c r="I91" s="175"/>
    </row>
    <row r="92" spans="1:9" ht="20.100000000000001" customHeight="1" x14ac:dyDescent="0.25">
      <c r="A92" s="102">
        <v>49</v>
      </c>
      <c r="B92" s="103" t="s">
        <v>901</v>
      </c>
      <c r="C92" s="101" t="s">
        <v>888</v>
      </c>
      <c r="D92" s="260" t="s">
        <v>463</v>
      </c>
      <c r="E92" s="261">
        <v>0</v>
      </c>
      <c r="F92" s="261"/>
      <c r="G92" s="261"/>
      <c r="H92" s="175"/>
      <c r="I92" s="175"/>
    </row>
    <row r="93" spans="1:9" ht="20.100000000000001" customHeight="1" x14ac:dyDescent="0.25">
      <c r="A93" s="102"/>
      <c r="B93" s="103"/>
      <c r="C93" s="101"/>
      <c r="D93" s="260" t="s">
        <v>1365</v>
      </c>
      <c r="E93" s="261"/>
      <c r="F93" s="261"/>
      <c r="G93" s="261">
        <v>400000</v>
      </c>
      <c r="H93" s="175">
        <v>400000</v>
      </c>
      <c r="I93" s="175"/>
    </row>
    <row r="94" spans="1:9" ht="20.100000000000001" customHeight="1" x14ac:dyDescent="0.25">
      <c r="A94" s="102"/>
      <c r="B94" s="103"/>
      <c r="C94" s="101"/>
      <c r="D94" s="260" t="s">
        <v>1257</v>
      </c>
      <c r="E94" s="261"/>
      <c r="F94" s="261">
        <v>250000</v>
      </c>
      <c r="G94" s="261">
        <v>0</v>
      </c>
      <c r="H94" s="175">
        <v>0</v>
      </c>
      <c r="I94" s="175"/>
    </row>
    <row r="95" spans="1:9" ht="20.100000000000001" customHeight="1" x14ac:dyDescent="0.25">
      <c r="A95" s="387" t="s">
        <v>908</v>
      </c>
      <c r="B95" s="388"/>
      <c r="C95" s="389"/>
      <c r="D95" s="393"/>
      <c r="E95" s="392">
        <f>SUM(E88:E94)</f>
        <v>775000</v>
      </c>
      <c r="F95" s="392">
        <f t="shared" ref="F95:I95" si="9">SUM(F88:F94)</f>
        <v>1055000</v>
      </c>
      <c r="G95" s="392">
        <f>SUM(G88:G94)</f>
        <v>1260500</v>
      </c>
      <c r="H95" s="392">
        <f t="shared" si="9"/>
        <v>1260500</v>
      </c>
      <c r="I95" s="392">
        <f t="shared" si="9"/>
        <v>0</v>
      </c>
    </row>
    <row r="96" spans="1:9" ht="20.100000000000001" customHeight="1" x14ac:dyDescent="0.25">
      <c r="A96" s="102"/>
      <c r="B96" s="103"/>
      <c r="C96" s="101"/>
      <c r="D96" s="104"/>
      <c r="E96" s="175"/>
      <c r="F96" s="175"/>
      <c r="G96" s="175"/>
      <c r="H96" s="175"/>
      <c r="I96" s="175"/>
    </row>
    <row r="97" spans="1:9" ht="20.100000000000001" customHeight="1" x14ac:dyDescent="0.25">
      <c r="A97" s="394" t="s">
        <v>464</v>
      </c>
      <c r="B97" s="395"/>
      <c r="C97" s="396"/>
      <c r="D97" s="394"/>
      <c r="E97" s="397">
        <f>+(E95+E86+E68+E62+E56+E38+E22+E19+E11+E4)</f>
        <v>57724225.049139991</v>
      </c>
      <c r="F97" s="397">
        <f t="shared" ref="F97:I97" si="10">+(F95+F86+F68+F62+F56+F38+F22+F19+F11+F4)</f>
        <v>59999194</v>
      </c>
      <c r="G97" s="397">
        <f>+(G95+G86+G68+G62+G56+G38+G22+G19+G11+G4)</f>
        <v>59180972.245999999</v>
      </c>
      <c r="H97" s="397">
        <f t="shared" si="10"/>
        <v>59180972.245999999</v>
      </c>
      <c r="I97" s="397">
        <f t="shared" si="10"/>
        <v>36990318.245999999</v>
      </c>
    </row>
  </sheetData>
  <sheetProtection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3:I92">
    <sortCondition ref="C3:C92"/>
  </sortState>
  <pageMargins left="0.7" right="0.7" top="0.75" bottom="0.75" header="0.3" footer="0.3"/>
  <pageSetup scale="76" fitToHeight="0" orientation="landscape" r:id="rId1"/>
  <ignoredErrors>
    <ignoredError sqref="G5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9AAB5-C830-4F1A-9A46-38D97900B4A9}">
  <sheetPr>
    <pageSetUpPr fitToPage="1"/>
  </sheetPr>
  <dimension ref="A2:B11"/>
  <sheetViews>
    <sheetView workbookViewId="0">
      <selection activeCell="A24" sqref="A24"/>
    </sheetView>
  </sheetViews>
  <sheetFormatPr defaultRowHeight="15" x14ac:dyDescent="0.25"/>
  <cols>
    <col min="1" max="1" width="27.7109375" customWidth="1"/>
    <col min="2" max="2" width="16.5703125" customWidth="1"/>
  </cols>
  <sheetData>
    <row r="2" spans="1:2" x14ac:dyDescent="0.25">
      <c r="A2" s="297" t="s">
        <v>1385</v>
      </c>
      <c r="B2" s="294" t="s">
        <v>1385</v>
      </c>
    </row>
    <row r="3" spans="1:2" x14ac:dyDescent="0.25">
      <c r="A3" s="296" t="s">
        <v>1286</v>
      </c>
      <c r="B3" s="293">
        <f>'Budget Summary'!D23</f>
        <v>15540357.949999999</v>
      </c>
    </row>
    <row r="4" spans="1:2" x14ac:dyDescent="0.25">
      <c r="A4" s="296" t="s">
        <v>1292</v>
      </c>
      <c r="B4" s="293">
        <f>'Budget Summary'!D24</f>
        <v>5934016.75086</v>
      </c>
    </row>
    <row r="5" spans="1:2" x14ac:dyDescent="0.25">
      <c r="A5" s="296" t="s">
        <v>1288</v>
      </c>
      <c r="B5" s="293">
        <f>'Budget Summary'!D25</f>
        <v>1050029</v>
      </c>
    </row>
    <row r="6" spans="1:2" x14ac:dyDescent="0.25">
      <c r="A6" s="296" t="s">
        <v>1275</v>
      </c>
      <c r="B6" s="293">
        <f>'Budget Summary'!D26</f>
        <v>662356</v>
      </c>
    </row>
    <row r="7" spans="1:2" x14ac:dyDescent="0.25">
      <c r="A7" s="296" t="s">
        <v>1287</v>
      </c>
      <c r="B7" s="293">
        <f>'Budget Summary'!D27</f>
        <v>389000</v>
      </c>
    </row>
    <row r="8" spans="1:2" x14ac:dyDescent="0.25">
      <c r="A8" s="296" t="s">
        <v>1274</v>
      </c>
      <c r="B8" s="293">
        <f>'Budget Summary'!D28</f>
        <v>2058083</v>
      </c>
    </row>
    <row r="9" spans="1:2" x14ac:dyDescent="0.25">
      <c r="A9" s="298" t="s">
        <v>109</v>
      </c>
      <c r="B9" s="295">
        <f>'Budget Summary'!D29</f>
        <v>33547129.18</v>
      </c>
    </row>
    <row r="11" spans="1:2" x14ac:dyDescent="0.25">
      <c r="B11" s="399">
        <f>SUM(Table3[Column1])</f>
        <v>59180971.880860001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75B4C-362D-41D6-9F79-9668F4CEFB4E}">
  <sheetPr>
    <pageSetUpPr fitToPage="1"/>
  </sheetPr>
  <dimension ref="A1:ER425"/>
  <sheetViews>
    <sheetView topLeftCell="B1" zoomScaleNormal="100" workbookViewId="0">
      <pane ySplit="3" topLeftCell="A323" activePane="bottomLeft" state="frozen"/>
      <selection activeCell="A24" sqref="A24"/>
      <selection pane="bottomLeft" activeCell="I338" sqref="I338"/>
    </sheetView>
  </sheetViews>
  <sheetFormatPr defaultRowHeight="15" x14ac:dyDescent="0.25"/>
  <cols>
    <col min="1" max="1" width="7.5703125" style="6" customWidth="1"/>
    <col min="2" max="2" width="23.7109375" style="5" customWidth="1"/>
    <col min="3" max="3" width="25.28515625" style="9" customWidth="1"/>
    <col min="4" max="4" width="36" style="5" customWidth="1"/>
    <col min="5" max="5" width="13" style="163" customWidth="1"/>
    <col min="6" max="6" width="2.28515625" style="163" customWidth="1"/>
    <col min="7" max="7" width="12.5703125" style="163" customWidth="1"/>
    <col min="8" max="8" width="12.7109375" style="163" customWidth="1"/>
    <col min="9" max="9" width="13.140625" style="163" customWidth="1"/>
    <col min="10" max="10" width="11.5703125" style="163" customWidth="1"/>
    <col min="11" max="11" width="8.5703125" style="217" customWidth="1"/>
    <col min="12" max="12" width="9.140625" style="8"/>
    <col min="13" max="13" width="27" style="67" customWidth="1"/>
    <col min="14" max="14" width="37.7109375" style="67" customWidth="1"/>
    <col min="15" max="15" width="25.5703125" style="8" customWidth="1"/>
    <col min="16" max="148" width="9.140625" style="8"/>
  </cols>
  <sheetData>
    <row r="1" spans="1:148" ht="23.25" x14ac:dyDescent="0.35">
      <c r="D1" s="276" t="s">
        <v>1371</v>
      </c>
    </row>
    <row r="2" spans="1:148" ht="12.75" customHeight="1" x14ac:dyDescent="0.35">
      <c r="D2" s="276"/>
    </row>
    <row r="3" spans="1:148" ht="24.75" x14ac:dyDescent="0.25">
      <c r="A3" s="11" t="s">
        <v>0</v>
      </c>
      <c r="B3" s="12" t="s">
        <v>1</v>
      </c>
      <c r="C3" s="13" t="s">
        <v>2</v>
      </c>
      <c r="D3" s="12" t="s">
        <v>3</v>
      </c>
      <c r="E3" s="164" t="s">
        <v>64</v>
      </c>
      <c r="F3" s="165"/>
      <c r="G3" s="164" t="s">
        <v>4</v>
      </c>
      <c r="H3" s="164" t="s">
        <v>5</v>
      </c>
      <c r="I3" s="164" t="s">
        <v>6</v>
      </c>
      <c r="J3" s="164" t="s">
        <v>7</v>
      </c>
      <c r="K3" s="218"/>
    </row>
    <row r="4" spans="1:148" ht="18" customHeight="1" x14ac:dyDescent="0.25">
      <c r="A4" s="154"/>
      <c r="B4" s="157"/>
      <c r="C4" s="156"/>
      <c r="D4" s="157"/>
      <c r="E4" s="166"/>
      <c r="F4" s="166"/>
      <c r="G4" s="166"/>
      <c r="H4" s="166"/>
      <c r="I4" s="166"/>
      <c r="J4" s="166"/>
    </row>
    <row r="5" spans="1:148" ht="18" customHeight="1" x14ac:dyDescent="0.25">
      <c r="A5" s="14">
        <v>201</v>
      </c>
      <c r="B5" s="15" t="s">
        <v>18</v>
      </c>
      <c r="C5" s="22" t="s">
        <v>1011</v>
      </c>
      <c r="D5" s="85" t="s">
        <v>354</v>
      </c>
      <c r="E5" s="171">
        <v>500</v>
      </c>
      <c r="F5" s="166"/>
      <c r="G5" s="171">
        <v>500</v>
      </c>
      <c r="H5" s="171">
        <v>500</v>
      </c>
      <c r="I5" s="171">
        <v>500</v>
      </c>
      <c r="J5" s="171"/>
      <c r="M5" s="7"/>
      <c r="N5" s="7"/>
      <c r="O5" s="7"/>
    </row>
    <row r="6" spans="1:148" ht="18" customHeight="1" x14ac:dyDescent="0.25">
      <c r="A6" s="14">
        <v>201</v>
      </c>
      <c r="B6" s="15" t="s">
        <v>18</v>
      </c>
      <c r="C6" s="22" t="s">
        <v>1012</v>
      </c>
      <c r="D6" s="85" t="s">
        <v>355</v>
      </c>
      <c r="E6" s="171">
        <v>0</v>
      </c>
      <c r="F6" s="166"/>
      <c r="G6" s="171"/>
      <c r="H6" s="171"/>
      <c r="I6" s="171"/>
      <c r="J6" s="171"/>
      <c r="M6" s="7"/>
      <c r="N6" s="7"/>
      <c r="O6" s="7"/>
    </row>
    <row r="7" spans="1:148" ht="18" customHeight="1" x14ac:dyDescent="0.25">
      <c r="A7" s="14">
        <v>201</v>
      </c>
      <c r="B7" s="15" t="s">
        <v>18</v>
      </c>
      <c r="C7" s="22" t="s">
        <v>1013</v>
      </c>
      <c r="D7" s="85" t="s">
        <v>356</v>
      </c>
      <c r="E7" s="171">
        <v>5143</v>
      </c>
      <c r="F7" s="166"/>
      <c r="G7" s="171">
        <v>5200</v>
      </c>
      <c r="H7" s="171">
        <v>5200</v>
      </c>
      <c r="I7" s="171">
        <v>5200</v>
      </c>
      <c r="J7" s="171"/>
      <c r="M7" s="7"/>
      <c r="N7" s="7"/>
      <c r="O7" s="7"/>
    </row>
    <row r="8" spans="1:148" ht="18" customHeight="1" x14ac:dyDescent="0.25">
      <c r="A8" s="14">
        <v>201</v>
      </c>
      <c r="B8" s="15" t="s">
        <v>18</v>
      </c>
      <c r="C8" s="22" t="s">
        <v>1014</v>
      </c>
      <c r="D8" s="85" t="s">
        <v>357</v>
      </c>
      <c r="E8" s="171">
        <v>4900</v>
      </c>
      <c r="F8" s="166"/>
      <c r="G8" s="171">
        <v>4900</v>
      </c>
      <c r="H8" s="171">
        <v>4900</v>
      </c>
      <c r="I8" s="171">
        <v>4900</v>
      </c>
      <c r="J8" s="171"/>
      <c r="M8" s="7"/>
      <c r="N8" s="7"/>
      <c r="O8" s="7"/>
    </row>
    <row r="9" spans="1:148" ht="18" customHeight="1" x14ac:dyDescent="0.25">
      <c r="A9" s="14">
        <v>201</v>
      </c>
      <c r="B9" s="15" t="s">
        <v>18</v>
      </c>
      <c r="C9" s="22" t="s">
        <v>1015</v>
      </c>
      <c r="D9" s="85" t="s">
        <v>358</v>
      </c>
      <c r="E9" s="171">
        <v>1500</v>
      </c>
      <c r="F9" s="166"/>
      <c r="G9" s="171">
        <v>1500</v>
      </c>
      <c r="H9" s="171">
        <v>1500</v>
      </c>
      <c r="I9" s="171">
        <v>1500</v>
      </c>
      <c r="J9" s="171"/>
      <c r="M9" s="7"/>
      <c r="N9" s="7"/>
      <c r="O9" s="7"/>
    </row>
    <row r="10" spans="1:148" ht="18" customHeight="1" x14ac:dyDescent="0.25">
      <c r="A10" s="14">
        <v>201</v>
      </c>
      <c r="B10" s="15" t="s">
        <v>18</v>
      </c>
      <c r="C10" s="22" t="s">
        <v>1254</v>
      </c>
      <c r="D10" s="85" t="s">
        <v>362</v>
      </c>
      <c r="E10" s="171">
        <v>0</v>
      </c>
      <c r="F10" s="166"/>
      <c r="G10" s="171"/>
      <c r="H10" s="171"/>
      <c r="I10" s="171"/>
      <c r="J10" s="171"/>
      <c r="M10" s="7"/>
      <c r="N10" s="7"/>
      <c r="O10" s="7"/>
    </row>
    <row r="11" spans="1:148" ht="18" customHeight="1" x14ac:dyDescent="0.25">
      <c r="A11" s="14">
        <v>201</v>
      </c>
      <c r="B11" s="15" t="s">
        <v>18</v>
      </c>
      <c r="C11" s="22" t="s">
        <v>1016</v>
      </c>
      <c r="D11" s="85" t="s">
        <v>359</v>
      </c>
      <c r="E11" s="171">
        <v>6054</v>
      </c>
      <c r="F11" s="166"/>
      <c r="G11" s="171">
        <v>6000</v>
      </c>
      <c r="H11" s="171">
        <v>6000</v>
      </c>
      <c r="I11" s="171">
        <v>6000</v>
      </c>
      <c r="J11" s="171"/>
      <c r="M11" s="7"/>
      <c r="N11" s="7"/>
      <c r="O11" s="7"/>
    </row>
    <row r="12" spans="1:148" s="10" customFormat="1" ht="18" customHeight="1" x14ac:dyDescent="0.25">
      <c r="A12" s="14">
        <v>201</v>
      </c>
      <c r="B12" s="15" t="s">
        <v>18</v>
      </c>
      <c r="C12" s="262" t="s">
        <v>1017</v>
      </c>
      <c r="D12" s="263" t="s">
        <v>360</v>
      </c>
      <c r="E12" s="264">
        <v>2400</v>
      </c>
      <c r="F12" s="213"/>
      <c r="G12" s="264">
        <v>2400</v>
      </c>
      <c r="H12" s="264">
        <v>2400</v>
      </c>
      <c r="I12" s="171">
        <v>2400</v>
      </c>
      <c r="J12" s="171"/>
      <c r="K12" s="217"/>
      <c r="L12" s="8"/>
      <c r="M12" s="7"/>
      <c r="N12" s="7"/>
      <c r="O12" s="7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</row>
    <row r="13" spans="1:148" s="10" customFormat="1" ht="18" customHeight="1" x14ac:dyDescent="0.25">
      <c r="A13" s="14">
        <v>201</v>
      </c>
      <c r="B13" s="15" t="s">
        <v>18</v>
      </c>
      <c r="C13" s="262" t="s">
        <v>361</v>
      </c>
      <c r="D13" s="263" t="s">
        <v>362</v>
      </c>
      <c r="E13" s="264">
        <v>725</v>
      </c>
      <c r="F13" s="213"/>
      <c r="G13" s="264">
        <v>725</v>
      </c>
      <c r="H13" s="264">
        <v>725</v>
      </c>
      <c r="I13" s="171">
        <v>725</v>
      </c>
      <c r="J13" s="171"/>
      <c r="K13" s="217"/>
      <c r="L13" s="8"/>
      <c r="M13" s="7"/>
      <c r="N13" s="7"/>
      <c r="O13" s="7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</row>
    <row r="14" spans="1:148" s="10" customFormat="1" ht="18" customHeight="1" x14ac:dyDescent="0.25">
      <c r="A14" s="14">
        <v>201</v>
      </c>
      <c r="B14" s="15" t="s">
        <v>18</v>
      </c>
      <c r="C14" s="262" t="s">
        <v>1027</v>
      </c>
      <c r="D14" s="263" t="s">
        <v>367</v>
      </c>
      <c r="E14" s="264">
        <v>9000</v>
      </c>
      <c r="F14" s="213"/>
      <c r="G14" s="264">
        <v>9000</v>
      </c>
      <c r="H14" s="264">
        <v>9000</v>
      </c>
      <c r="I14" s="171">
        <v>9000</v>
      </c>
      <c r="J14" s="171"/>
      <c r="K14" s="217"/>
      <c r="L14" s="8"/>
      <c r="M14" s="7"/>
      <c r="N14" s="7"/>
      <c r="O14" s="7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</row>
    <row r="15" spans="1:148" ht="18" customHeight="1" x14ac:dyDescent="0.25">
      <c r="A15" s="14">
        <v>201</v>
      </c>
      <c r="B15" s="15" t="s">
        <v>18</v>
      </c>
      <c r="C15" s="262" t="s">
        <v>1252</v>
      </c>
      <c r="D15" s="263" t="s">
        <v>377</v>
      </c>
      <c r="E15" s="264">
        <v>14680</v>
      </c>
      <c r="F15" s="213"/>
      <c r="G15" s="264">
        <v>14658</v>
      </c>
      <c r="H15" s="264">
        <v>12163</v>
      </c>
      <c r="I15" s="171">
        <v>12163</v>
      </c>
      <c r="J15" s="171"/>
      <c r="M15" s="7"/>
      <c r="N15" s="7"/>
      <c r="O15" s="7"/>
    </row>
    <row r="16" spans="1:148" ht="18" customHeight="1" x14ac:dyDescent="0.25">
      <c r="A16" s="14">
        <v>201</v>
      </c>
      <c r="B16" s="15" t="s">
        <v>18</v>
      </c>
      <c r="C16" s="22" t="s">
        <v>1253</v>
      </c>
      <c r="D16" s="85" t="s">
        <v>379</v>
      </c>
      <c r="E16" s="171">
        <v>12591</v>
      </c>
      <c r="F16" s="166"/>
      <c r="G16" s="171">
        <v>12591</v>
      </c>
      <c r="H16" s="171">
        <v>12591</v>
      </c>
      <c r="I16" s="171">
        <v>12591</v>
      </c>
      <c r="J16" s="171"/>
      <c r="M16" s="7"/>
      <c r="N16" s="7"/>
      <c r="O16" s="7"/>
    </row>
    <row r="17" spans="1:15" ht="18" customHeight="1" x14ac:dyDescent="0.25">
      <c r="A17" s="14">
        <v>201</v>
      </c>
      <c r="B17" s="15" t="s">
        <v>18</v>
      </c>
      <c r="C17" s="22" t="s">
        <v>1036</v>
      </c>
      <c r="D17" s="85" t="s">
        <v>385</v>
      </c>
      <c r="E17" s="171">
        <v>32000</v>
      </c>
      <c r="F17" s="166"/>
      <c r="G17" s="171">
        <v>32000</v>
      </c>
      <c r="H17" s="171">
        <v>32000</v>
      </c>
      <c r="I17" s="171">
        <v>32000</v>
      </c>
      <c r="J17" s="171"/>
      <c r="M17" s="7"/>
      <c r="N17" s="7"/>
      <c r="O17" s="7"/>
    </row>
    <row r="18" spans="1:15" ht="18" customHeight="1" x14ac:dyDescent="0.25">
      <c r="A18" s="14">
        <v>201</v>
      </c>
      <c r="B18" s="15" t="s">
        <v>18</v>
      </c>
      <c r="C18" s="22" t="s">
        <v>1037</v>
      </c>
      <c r="D18" s="108" t="s">
        <v>389</v>
      </c>
      <c r="E18" s="171">
        <v>20000</v>
      </c>
      <c r="F18" s="166"/>
      <c r="G18" s="171">
        <v>20000</v>
      </c>
      <c r="H18" s="171">
        <v>20000</v>
      </c>
      <c r="I18" s="171">
        <v>20000</v>
      </c>
      <c r="J18" s="171"/>
      <c r="M18" s="7"/>
      <c r="N18" s="7"/>
      <c r="O18" s="7"/>
    </row>
    <row r="19" spans="1:15" ht="18" customHeight="1" x14ac:dyDescent="0.25">
      <c r="A19" s="14">
        <v>201</v>
      </c>
      <c r="B19" s="15" t="s">
        <v>18</v>
      </c>
      <c r="C19" s="22" t="s">
        <v>1038</v>
      </c>
      <c r="D19" s="108" t="s">
        <v>390</v>
      </c>
      <c r="E19" s="171">
        <v>0</v>
      </c>
      <c r="F19" s="166"/>
      <c r="G19" s="171"/>
      <c r="H19" s="171">
        <v>5000</v>
      </c>
      <c r="I19" s="171">
        <v>5000</v>
      </c>
      <c r="J19" s="171"/>
      <c r="M19" s="7"/>
      <c r="N19" s="7"/>
      <c r="O19" s="7"/>
    </row>
    <row r="20" spans="1:15" ht="18" customHeight="1" x14ac:dyDescent="0.25">
      <c r="A20" s="14">
        <v>201</v>
      </c>
      <c r="B20" s="15" t="s">
        <v>18</v>
      </c>
      <c r="C20" s="22" t="s">
        <v>1039</v>
      </c>
      <c r="D20" s="108" t="s">
        <v>391</v>
      </c>
      <c r="E20" s="171">
        <v>15000</v>
      </c>
      <c r="F20" s="166"/>
      <c r="G20" s="171">
        <v>15000</v>
      </c>
      <c r="H20" s="171">
        <v>15000</v>
      </c>
      <c r="I20" s="171">
        <v>15000</v>
      </c>
      <c r="J20" s="171"/>
      <c r="M20" s="7"/>
      <c r="N20" s="7"/>
      <c r="O20" s="7"/>
    </row>
    <row r="21" spans="1:15" ht="18" customHeight="1" x14ac:dyDescent="0.25">
      <c r="A21" s="14">
        <v>201</v>
      </c>
      <c r="B21" s="15" t="s">
        <v>18</v>
      </c>
      <c r="C21" s="22" t="s">
        <v>1040</v>
      </c>
      <c r="D21" s="108" t="s">
        <v>392</v>
      </c>
      <c r="E21" s="171">
        <v>22000</v>
      </c>
      <c r="F21" s="166"/>
      <c r="G21" s="171">
        <v>25000</v>
      </c>
      <c r="H21" s="171">
        <v>25000</v>
      </c>
      <c r="I21" s="171">
        <v>25000</v>
      </c>
      <c r="J21" s="171"/>
      <c r="M21" s="7"/>
      <c r="N21" s="7"/>
      <c r="O21" s="7"/>
    </row>
    <row r="22" spans="1:15" ht="18" customHeight="1" x14ac:dyDescent="0.25">
      <c r="A22" s="14">
        <v>201</v>
      </c>
      <c r="B22" s="15" t="s">
        <v>18</v>
      </c>
      <c r="C22" s="22" t="s">
        <v>1041</v>
      </c>
      <c r="D22" s="108" t="s">
        <v>393</v>
      </c>
      <c r="E22" s="171">
        <v>0</v>
      </c>
      <c r="F22" s="166"/>
      <c r="G22" s="171"/>
      <c r="H22" s="171"/>
      <c r="I22" s="171"/>
      <c r="J22" s="171"/>
      <c r="M22" s="7"/>
      <c r="N22" s="7"/>
      <c r="O22" s="7"/>
    </row>
    <row r="23" spans="1:15" ht="18" customHeight="1" x14ac:dyDescent="0.25">
      <c r="A23" s="14">
        <v>201</v>
      </c>
      <c r="B23" s="15" t="s">
        <v>18</v>
      </c>
      <c r="C23" s="22" t="s">
        <v>1042</v>
      </c>
      <c r="D23" s="108" t="s">
        <v>394</v>
      </c>
      <c r="E23" s="171">
        <v>133486</v>
      </c>
      <c r="F23" s="166"/>
      <c r="G23" s="171">
        <v>133486</v>
      </c>
      <c r="H23" s="171">
        <v>133486</v>
      </c>
      <c r="I23" s="171">
        <v>133486</v>
      </c>
      <c r="J23" s="171"/>
      <c r="M23" s="7"/>
      <c r="N23" s="7"/>
      <c r="O23" s="7"/>
    </row>
    <row r="24" spans="1:15" ht="18" customHeight="1" x14ac:dyDescent="0.25">
      <c r="A24" s="14">
        <v>201</v>
      </c>
      <c r="B24" s="15" t="s">
        <v>18</v>
      </c>
      <c r="C24" s="22" t="s">
        <v>1043</v>
      </c>
      <c r="D24" s="108" t="s">
        <v>395</v>
      </c>
      <c r="E24" s="171">
        <v>128870</v>
      </c>
      <c r="F24" s="166"/>
      <c r="G24" s="171">
        <v>128870</v>
      </c>
      <c r="H24" s="171">
        <v>128870</v>
      </c>
      <c r="I24" s="171">
        <v>128870</v>
      </c>
      <c r="J24" s="171"/>
      <c r="M24" s="7"/>
      <c r="N24" s="7"/>
      <c r="O24" s="7"/>
    </row>
    <row r="25" spans="1:15" ht="18" customHeight="1" x14ac:dyDescent="0.25">
      <c r="A25" s="14">
        <v>201</v>
      </c>
      <c r="B25" s="15" t="s">
        <v>18</v>
      </c>
      <c r="C25" s="22" t="s">
        <v>1044</v>
      </c>
      <c r="D25" s="108" t="s">
        <v>396</v>
      </c>
      <c r="E25" s="171">
        <v>1104</v>
      </c>
      <c r="F25" s="166"/>
      <c r="G25" s="171">
        <v>1104</v>
      </c>
      <c r="H25" s="171">
        <v>1104</v>
      </c>
      <c r="I25" s="171">
        <v>1104</v>
      </c>
      <c r="J25" s="171"/>
      <c r="M25" s="7"/>
      <c r="N25" s="7"/>
      <c r="O25" s="7"/>
    </row>
    <row r="26" spans="1:15" ht="18" customHeight="1" x14ac:dyDescent="0.25">
      <c r="A26" s="17" t="s">
        <v>20</v>
      </c>
      <c r="B26" s="18"/>
      <c r="C26" s="19"/>
      <c r="D26" s="18"/>
      <c r="E26" s="168">
        <f>SUM(E5:E25)</f>
        <v>409953</v>
      </c>
      <c r="F26" s="166"/>
      <c r="G26" s="168">
        <f>SUM(G5:G25)</f>
        <v>412934</v>
      </c>
      <c r="H26" s="168">
        <f>SUM(H5:H25)</f>
        <v>415439</v>
      </c>
      <c r="I26" s="168">
        <f>SUM(I5:I25)</f>
        <v>415439</v>
      </c>
      <c r="J26" s="168">
        <f>SUM(J5:J25)</f>
        <v>0</v>
      </c>
      <c r="M26" s="7"/>
      <c r="N26" s="7"/>
      <c r="O26" s="7"/>
    </row>
    <row r="27" spans="1:15" ht="18" customHeight="1" x14ac:dyDescent="0.25">
      <c r="A27" s="14">
        <v>202</v>
      </c>
      <c r="B27" s="20" t="s">
        <v>21</v>
      </c>
      <c r="C27" s="22" t="s">
        <v>981</v>
      </c>
      <c r="D27" s="85" t="s">
        <v>1363</v>
      </c>
      <c r="E27" s="167">
        <v>54965</v>
      </c>
      <c r="F27" s="166"/>
      <c r="G27" s="167">
        <v>59374</v>
      </c>
      <c r="H27" s="167">
        <v>54965</v>
      </c>
      <c r="I27" s="167">
        <v>54965</v>
      </c>
      <c r="J27" s="167"/>
      <c r="M27" s="7"/>
      <c r="N27" s="7"/>
      <c r="O27" s="7"/>
    </row>
    <row r="28" spans="1:15" ht="18" customHeight="1" x14ac:dyDescent="0.25">
      <c r="A28" s="14"/>
      <c r="B28" s="20"/>
      <c r="C28" s="22"/>
      <c r="D28" s="85" t="s">
        <v>1362</v>
      </c>
      <c r="E28" s="167"/>
      <c r="F28" s="166"/>
      <c r="G28" s="167"/>
      <c r="H28" s="167"/>
      <c r="I28" s="167"/>
      <c r="J28" s="167"/>
      <c r="M28" s="7"/>
      <c r="N28" s="7"/>
      <c r="O28" s="7"/>
    </row>
    <row r="29" spans="1:15" ht="18" customHeight="1" x14ac:dyDescent="0.25">
      <c r="A29" s="14">
        <v>202</v>
      </c>
      <c r="B29" s="20" t="s">
        <v>21</v>
      </c>
      <c r="C29" s="22" t="s">
        <v>982</v>
      </c>
      <c r="D29" s="85" t="s">
        <v>22</v>
      </c>
      <c r="E29" s="167">
        <v>4455</v>
      </c>
      <c r="F29" s="166"/>
      <c r="G29" s="167">
        <v>2821</v>
      </c>
      <c r="H29" s="167">
        <v>4455</v>
      </c>
      <c r="I29" s="167">
        <v>4455</v>
      </c>
      <c r="J29" s="167"/>
      <c r="M29" s="7"/>
      <c r="N29" s="7"/>
      <c r="O29" s="7"/>
    </row>
    <row r="30" spans="1:15" ht="18" customHeight="1" x14ac:dyDescent="0.25">
      <c r="A30" s="14">
        <v>202</v>
      </c>
      <c r="B30" s="20" t="s">
        <v>21</v>
      </c>
      <c r="C30" s="22" t="s">
        <v>983</v>
      </c>
      <c r="D30" s="85" t="s">
        <v>23</v>
      </c>
      <c r="E30" s="167">
        <v>2600</v>
      </c>
      <c r="F30" s="166"/>
      <c r="G30" s="167">
        <v>2480</v>
      </c>
      <c r="H30" s="167">
        <v>2600</v>
      </c>
      <c r="I30" s="167">
        <v>2600</v>
      </c>
      <c r="J30" s="167"/>
      <c r="M30" s="7"/>
      <c r="N30" s="7"/>
      <c r="O30" s="7"/>
    </row>
    <row r="31" spans="1:15" ht="18" customHeight="1" x14ac:dyDescent="0.25">
      <c r="A31" s="14">
        <v>202</v>
      </c>
      <c r="B31" s="20" t="s">
        <v>21</v>
      </c>
      <c r="C31" s="22" t="s">
        <v>984</v>
      </c>
      <c r="D31" s="85" t="s">
        <v>24</v>
      </c>
      <c r="E31" s="167">
        <v>550</v>
      </c>
      <c r="F31" s="166"/>
      <c r="G31" s="167">
        <v>550</v>
      </c>
      <c r="H31" s="167">
        <v>550</v>
      </c>
      <c r="I31" s="167">
        <v>550</v>
      </c>
      <c r="J31" s="167"/>
      <c r="M31" s="7"/>
      <c r="N31" s="7"/>
      <c r="O31" s="7"/>
    </row>
    <row r="32" spans="1:15" ht="18" customHeight="1" x14ac:dyDescent="0.25">
      <c r="A32" s="14">
        <v>202</v>
      </c>
      <c r="B32" s="20" t="s">
        <v>21</v>
      </c>
      <c r="C32" s="22" t="s">
        <v>985</v>
      </c>
      <c r="D32" s="85" t="s">
        <v>25</v>
      </c>
      <c r="E32" s="167">
        <v>3000</v>
      </c>
      <c r="F32" s="166"/>
      <c r="G32" s="167">
        <v>3000</v>
      </c>
      <c r="H32" s="167">
        <v>3000</v>
      </c>
      <c r="I32" s="167">
        <v>3000</v>
      </c>
      <c r="J32" s="167"/>
      <c r="M32" s="7"/>
      <c r="N32" s="7"/>
      <c r="O32" s="7"/>
    </row>
    <row r="33" spans="1:148" ht="18" customHeight="1" x14ac:dyDescent="0.25">
      <c r="A33" s="14">
        <v>202</v>
      </c>
      <c r="B33" s="20" t="s">
        <v>21</v>
      </c>
      <c r="C33" s="22" t="s">
        <v>986</v>
      </c>
      <c r="D33" s="85" t="s">
        <v>26</v>
      </c>
      <c r="E33" s="167">
        <v>16772</v>
      </c>
      <c r="F33" s="166"/>
      <c r="G33" s="167">
        <v>19417</v>
      </c>
      <c r="H33" s="167">
        <v>16772</v>
      </c>
      <c r="I33" s="167">
        <v>16772</v>
      </c>
      <c r="J33" s="167"/>
      <c r="M33" s="7"/>
      <c r="N33" s="7"/>
      <c r="O33" s="7"/>
    </row>
    <row r="34" spans="1:148" ht="18" customHeight="1" x14ac:dyDescent="0.25">
      <c r="A34" s="14">
        <v>202</v>
      </c>
      <c r="B34" s="20" t="s">
        <v>21</v>
      </c>
      <c r="C34" s="22" t="s">
        <v>987</v>
      </c>
      <c r="D34" s="85" t="s">
        <v>27</v>
      </c>
      <c r="E34" s="167">
        <v>6780</v>
      </c>
      <c r="F34" s="166"/>
      <c r="G34" s="167">
        <v>6400</v>
      </c>
      <c r="H34" s="167">
        <v>6780</v>
      </c>
      <c r="I34" s="167">
        <v>6780</v>
      </c>
      <c r="J34" s="167"/>
      <c r="M34" s="7"/>
      <c r="N34" s="7"/>
      <c r="O34" s="7"/>
    </row>
    <row r="35" spans="1:148" ht="18" customHeight="1" x14ac:dyDescent="0.25">
      <c r="A35" s="14">
        <v>202</v>
      </c>
      <c r="B35" s="20" t="s">
        <v>21</v>
      </c>
      <c r="C35" s="22" t="s">
        <v>988</v>
      </c>
      <c r="D35" s="85" t="s">
        <v>28</v>
      </c>
      <c r="E35" s="167">
        <v>300</v>
      </c>
      <c r="F35" s="166"/>
      <c r="G35" s="167">
        <v>300</v>
      </c>
      <c r="H35" s="167">
        <v>300</v>
      </c>
      <c r="I35" s="167">
        <v>300</v>
      </c>
      <c r="J35" s="167"/>
      <c r="M35" s="7"/>
      <c r="N35" s="7"/>
      <c r="O35" s="7"/>
    </row>
    <row r="36" spans="1:148" ht="18" customHeight="1" x14ac:dyDescent="0.25">
      <c r="A36" s="14">
        <v>202</v>
      </c>
      <c r="B36" s="20" t="s">
        <v>21</v>
      </c>
      <c r="C36" s="22" t="s">
        <v>989</v>
      </c>
      <c r="D36" s="85" t="s">
        <v>29</v>
      </c>
      <c r="E36" s="167">
        <v>1498</v>
      </c>
      <c r="F36" s="166"/>
      <c r="G36" s="167">
        <v>1839</v>
      </c>
      <c r="H36" s="167">
        <v>1498</v>
      </c>
      <c r="I36" s="167">
        <v>1498</v>
      </c>
      <c r="J36" s="167"/>
      <c r="M36" s="7"/>
      <c r="N36" s="7"/>
      <c r="O36" s="7"/>
    </row>
    <row r="37" spans="1:148" s="10" customFormat="1" ht="18" customHeight="1" x14ac:dyDescent="0.25">
      <c r="A37" s="17" t="s">
        <v>30</v>
      </c>
      <c r="B37" s="21" t="s">
        <v>31</v>
      </c>
      <c r="C37" s="19" t="s">
        <v>31</v>
      </c>
      <c r="D37" s="21" t="s">
        <v>31</v>
      </c>
      <c r="E37" s="168">
        <f>SUM(E27:E36)</f>
        <v>90920</v>
      </c>
      <c r="F37" s="166"/>
      <c r="G37" s="168">
        <f>SUM(G27:G36)</f>
        <v>96181</v>
      </c>
      <c r="H37" s="168">
        <f>SUM(H27:H36)</f>
        <v>90920</v>
      </c>
      <c r="I37" s="168">
        <f t="shared" ref="I37:J37" si="0">SUM(I27:I36)</f>
        <v>90920</v>
      </c>
      <c r="J37" s="168">
        <f t="shared" si="0"/>
        <v>0</v>
      </c>
      <c r="K37" s="217"/>
      <c r="L37" s="8"/>
      <c r="M37" s="7"/>
      <c r="N37" s="7"/>
      <c r="O37" s="7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</row>
    <row r="38" spans="1:148" ht="18" customHeight="1" x14ac:dyDescent="0.25">
      <c r="A38" s="14">
        <v>203</v>
      </c>
      <c r="B38" s="20" t="s">
        <v>50</v>
      </c>
      <c r="C38" s="262" t="s">
        <v>1028</v>
      </c>
      <c r="D38" s="263" t="s">
        <v>368</v>
      </c>
      <c r="E38" s="264">
        <v>5000</v>
      </c>
      <c r="F38" s="213"/>
      <c r="G38" s="264">
        <v>5000</v>
      </c>
      <c r="H38" s="264">
        <v>5000</v>
      </c>
      <c r="I38" s="171">
        <v>5000</v>
      </c>
      <c r="J38" s="171"/>
      <c r="M38" s="7"/>
      <c r="N38" s="7"/>
      <c r="O38" s="7"/>
    </row>
    <row r="39" spans="1:148" ht="18" customHeight="1" x14ac:dyDescent="0.25">
      <c r="A39" s="14">
        <v>203</v>
      </c>
      <c r="B39" s="20" t="s">
        <v>50</v>
      </c>
      <c r="C39" s="262" t="s">
        <v>369</v>
      </c>
      <c r="D39" s="263" t="s">
        <v>370</v>
      </c>
      <c r="E39" s="264">
        <v>0</v>
      </c>
      <c r="F39" s="213"/>
      <c r="G39" s="264"/>
      <c r="H39" s="264"/>
      <c r="I39" s="171"/>
      <c r="J39" s="171"/>
      <c r="M39" s="7"/>
      <c r="N39" s="7"/>
      <c r="O39" s="7"/>
    </row>
    <row r="40" spans="1:148" ht="18" customHeight="1" x14ac:dyDescent="0.25">
      <c r="A40" s="14">
        <v>203</v>
      </c>
      <c r="B40" s="20" t="s">
        <v>50</v>
      </c>
      <c r="C40" s="262" t="s">
        <v>371</v>
      </c>
      <c r="D40" s="263" t="s">
        <v>372</v>
      </c>
      <c r="E40" s="264">
        <v>0</v>
      </c>
      <c r="F40" s="213"/>
      <c r="G40" s="264"/>
      <c r="H40" s="264"/>
      <c r="I40" s="171"/>
      <c r="J40" s="171"/>
      <c r="M40" s="7"/>
      <c r="N40" s="7"/>
      <c r="O40" s="7"/>
    </row>
    <row r="41" spans="1:148" ht="18" customHeight="1" x14ac:dyDescent="0.25">
      <c r="A41" s="14">
        <v>203</v>
      </c>
      <c r="B41" s="20" t="s">
        <v>50</v>
      </c>
      <c r="C41" s="262" t="s">
        <v>1029</v>
      </c>
      <c r="D41" s="263" t="s">
        <v>373</v>
      </c>
      <c r="E41" s="264">
        <v>5700</v>
      </c>
      <c r="F41" s="213"/>
      <c r="G41" s="264">
        <v>5700</v>
      </c>
      <c r="H41" s="264">
        <v>5700</v>
      </c>
      <c r="I41" s="171">
        <v>5700</v>
      </c>
      <c r="J41" s="171"/>
      <c r="M41" s="7"/>
      <c r="N41" s="7"/>
      <c r="O41" s="7"/>
    </row>
    <row r="42" spans="1:148" ht="18" customHeight="1" x14ac:dyDescent="0.25">
      <c r="A42" s="14">
        <v>203</v>
      </c>
      <c r="B42" s="20" t="s">
        <v>50</v>
      </c>
      <c r="C42" s="262" t="s">
        <v>1030</v>
      </c>
      <c r="D42" s="263" t="s">
        <v>374</v>
      </c>
      <c r="E42" s="264">
        <v>11000</v>
      </c>
      <c r="F42" s="213"/>
      <c r="G42" s="264">
        <v>11000</v>
      </c>
      <c r="H42" s="264">
        <v>11000</v>
      </c>
      <c r="I42" s="171">
        <v>11000</v>
      </c>
      <c r="J42" s="171"/>
      <c r="M42" s="7"/>
      <c r="N42" s="7"/>
      <c r="O42" s="7"/>
    </row>
    <row r="43" spans="1:148" ht="18" customHeight="1" x14ac:dyDescent="0.25">
      <c r="A43" s="14">
        <v>203</v>
      </c>
      <c r="B43" s="20" t="s">
        <v>50</v>
      </c>
      <c r="C43" s="262" t="s">
        <v>375</v>
      </c>
      <c r="D43" s="263" t="s">
        <v>376</v>
      </c>
      <c r="E43" s="264">
        <v>0</v>
      </c>
      <c r="F43" s="213"/>
      <c r="G43" s="264"/>
      <c r="H43" s="264"/>
      <c r="I43" s="171"/>
      <c r="J43" s="171"/>
      <c r="M43" s="7"/>
      <c r="N43" s="7"/>
      <c r="O43" s="7"/>
    </row>
    <row r="44" spans="1:148" ht="18" customHeight="1" x14ac:dyDescent="0.25">
      <c r="A44" s="14">
        <v>203</v>
      </c>
      <c r="B44" s="20" t="s">
        <v>50</v>
      </c>
      <c r="C44" s="262" t="s">
        <v>1031</v>
      </c>
      <c r="D44" s="263" t="s">
        <v>378</v>
      </c>
      <c r="E44" s="264">
        <v>3000</v>
      </c>
      <c r="F44" s="213"/>
      <c r="G44" s="264">
        <v>10000</v>
      </c>
      <c r="H44" s="264">
        <v>3000</v>
      </c>
      <c r="I44" s="171">
        <v>3000</v>
      </c>
      <c r="J44" s="171"/>
      <c r="M44" s="7"/>
      <c r="N44" s="7"/>
      <c r="O44" s="7"/>
    </row>
    <row r="45" spans="1:148" ht="18" customHeight="1" x14ac:dyDescent="0.25">
      <c r="A45" s="14">
        <v>203</v>
      </c>
      <c r="B45" s="20" t="s">
        <v>50</v>
      </c>
      <c r="C45" s="262" t="s">
        <v>1032</v>
      </c>
      <c r="D45" s="263" t="s">
        <v>380</v>
      </c>
      <c r="E45" s="264">
        <v>1500</v>
      </c>
      <c r="F45" s="213"/>
      <c r="G45" s="264">
        <v>1500</v>
      </c>
      <c r="H45" s="264">
        <v>1500</v>
      </c>
      <c r="I45" s="171">
        <v>1500</v>
      </c>
      <c r="J45" s="171"/>
      <c r="M45" s="7"/>
      <c r="N45" s="7"/>
      <c r="O45" s="7"/>
    </row>
    <row r="46" spans="1:148" ht="18" customHeight="1" x14ac:dyDescent="0.25">
      <c r="A46" s="14">
        <v>203</v>
      </c>
      <c r="B46" s="20" t="s">
        <v>50</v>
      </c>
      <c r="C46" s="262" t="s">
        <v>1033</v>
      </c>
      <c r="D46" s="263" t="s">
        <v>381</v>
      </c>
      <c r="E46" s="264">
        <v>0</v>
      </c>
      <c r="F46" s="213"/>
      <c r="G46" s="264"/>
      <c r="H46" s="264"/>
      <c r="I46" s="171"/>
      <c r="J46" s="171"/>
      <c r="M46" s="7"/>
      <c r="N46" s="7"/>
      <c r="O46" s="7"/>
    </row>
    <row r="47" spans="1:148" s="10" customFormat="1" ht="18" customHeight="1" x14ac:dyDescent="0.25">
      <c r="A47" s="14">
        <v>203</v>
      </c>
      <c r="B47" s="20" t="s">
        <v>50</v>
      </c>
      <c r="C47" s="262" t="s">
        <v>382</v>
      </c>
      <c r="D47" s="263" t="s">
        <v>383</v>
      </c>
      <c r="E47" s="264">
        <v>0</v>
      </c>
      <c r="F47" s="213"/>
      <c r="G47" s="264"/>
      <c r="H47" s="264"/>
      <c r="I47" s="171"/>
      <c r="J47" s="171"/>
      <c r="K47" s="217"/>
      <c r="L47" s="8"/>
      <c r="M47" s="7"/>
      <c r="N47" s="7"/>
      <c r="O47" s="7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</row>
    <row r="48" spans="1:148" ht="18" customHeight="1" x14ac:dyDescent="0.25">
      <c r="A48" s="14">
        <v>203</v>
      </c>
      <c r="B48" s="20" t="s">
        <v>50</v>
      </c>
      <c r="C48" s="262" t="s">
        <v>1034</v>
      </c>
      <c r="D48" s="263" t="s">
        <v>384</v>
      </c>
      <c r="E48" s="264">
        <v>2000</v>
      </c>
      <c r="F48" s="213"/>
      <c r="G48" s="264">
        <v>2500</v>
      </c>
      <c r="H48" s="264">
        <v>2000</v>
      </c>
      <c r="I48" s="171">
        <v>2000</v>
      </c>
      <c r="J48" s="171"/>
      <c r="M48" s="7"/>
      <c r="N48" s="7"/>
      <c r="O48" s="7"/>
    </row>
    <row r="49" spans="1:148" ht="18" customHeight="1" x14ac:dyDescent="0.25">
      <c r="A49" s="14">
        <v>203</v>
      </c>
      <c r="B49" s="20" t="s">
        <v>50</v>
      </c>
      <c r="C49" s="262" t="s">
        <v>1035</v>
      </c>
      <c r="D49" s="263" t="s">
        <v>386</v>
      </c>
      <c r="E49" s="264">
        <v>500</v>
      </c>
      <c r="F49" s="213"/>
      <c r="G49" s="264">
        <v>500</v>
      </c>
      <c r="H49" s="264">
        <v>500</v>
      </c>
      <c r="I49" s="171">
        <v>500</v>
      </c>
      <c r="J49" s="171"/>
      <c r="M49" s="7"/>
      <c r="N49" s="7"/>
      <c r="O49" s="7"/>
    </row>
    <row r="50" spans="1:148" ht="18" customHeight="1" x14ac:dyDescent="0.25">
      <c r="A50" s="14">
        <v>203</v>
      </c>
      <c r="B50" s="20" t="s">
        <v>50</v>
      </c>
      <c r="C50" s="262" t="s">
        <v>387</v>
      </c>
      <c r="D50" s="263" t="s">
        <v>388</v>
      </c>
      <c r="E50" s="264">
        <v>0</v>
      </c>
      <c r="F50" s="213"/>
      <c r="G50" s="264"/>
      <c r="H50" s="264"/>
      <c r="I50" s="171"/>
      <c r="J50" s="171"/>
      <c r="M50" s="7"/>
      <c r="N50" s="7"/>
      <c r="O50" s="7"/>
    </row>
    <row r="51" spans="1:148" ht="18" customHeight="1" x14ac:dyDescent="0.25">
      <c r="A51" s="14"/>
      <c r="B51" s="20"/>
      <c r="C51" s="262" t="s">
        <v>1255</v>
      </c>
      <c r="D51" s="263" t="s">
        <v>1256</v>
      </c>
      <c r="E51" s="264"/>
      <c r="F51" s="213"/>
      <c r="G51" s="264"/>
      <c r="H51" s="264"/>
      <c r="I51" s="171"/>
      <c r="J51" s="171"/>
      <c r="M51" s="7"/>
      <c r="N51" s="7"/>
      <c r="O51" s="7"/>
    </row>
    <row r="52" spans="1:148" ht="18" customHeight="1" x14ac:dyDescent="0.25">
      <c r="A52" s="17" t="s">
        <v>51</v>
      </c>
      <c r="B52" s="21"/>
      <c r="C52" s="19"/>
      <c r="D52" s="21"/>
      <c r="E52" s="168">
        <f>SUM(E38:E51)</f>
        <v>28700</v>
      </c>
      <c r="F52" s="166"/>
      <c r="G52" s="168">
        <f>SUM(G38:G51)</f>
        <v>36200</v>
      </c>
      <c r="H52" s="168">
        <f>SUM(H38:H51)</f>
        <v>28700</v>
      </c>
      <c r="I52" s="168">
        <f t="shared" ref="I52:J52" si="1">SUM(I38:I50)</f>
        <v>28700</v>
      </c>
      <c r="J52" s="168">
        <f t="shared" si="1"/>
        <v>0</v>
      </c>
      <c r="M52" s="7"/>
      <c r="N52" s="7"/>
      <c r="O52" s="7"/>
    </row>
    <row r="53" spans="1:148" ht="18" customHeight="1" x14ac:dyDescent="0.25">
      <c r="A53" s="14">
        <v>211</v>
      </c>
      <c r="B53" s="20" t="s">
        <v>86</v>
      </c>
      <c r="C53" s="22" t="s">
        <v>1146</v>
      </c>
      <c r="D53" s="108" t="s">
        <v>118</v>
      </c>
      <c r="E53" s="167">
        <v>19694</v>
      </c>
      <c r="F53" s="166"/>
      <c r="G53" s="167">
        <v>19694</v>
      </c>
      <c r="H53" s="167">
        <v>19694</v>
      </c>
      <c r="I53" s="167">
        <v>19694</v>
      </c>
      <c r="J53" s="167"/>
      <c r="M53" s="7"/>
      <c r="N53" s="7"/>
      <c r="O53" s="7"/>
    </row>
    <row r="54" spans="1:148" ht="18" customHeight="1" x14ac:dyDescent="0.25">
      <c r="A54" s="14">
        <v>211</v>
      </c>
      <c r="B54" s="20" t="s">
        <v>86</v>
      </c>
      <c r="C54" s="22" t="s">
        <v>1147</v>
      </c>
      <c r="D54" s="108" t="s">
        <v>119</v>
      </c>
      <c r="E54" s="167">
        <v>1200</v>
      </c>
      <c r="F54" s="166"/>
      <c r="G54" s="167">
        <v>1200</v>
      </c>
      <c r="H54" s="167">
        <v>1200</v>
      </c>
      <c r="I54" s="167">
        <v>1200</v>
      </c>
      <c r="J54" s="167"/>
      <c r="M54" s="7"/>
      <c r="N54" s="7"/>
      <c r="O54" s="7"/>
    </row>
    <row r="55" spans="1:148" ht="18" customHeight="1" x14ac:dyDescent="0.25">
      <c r="A55" s="14">
        <v>211</v>
      </c>
      <c r="B55" s="20" t="s">
        <v>86</v>
      </c>
      <c r="C55" s="22" t="s">
        <v>1148</v>
      </c>
      <c r="D55" s="108" t="s">
        <v>120</v>
      </c>
      <c r="E55" s="167">
        <v>5000</v>
      </c>
      <c r="F55" s="166"/>
      <c r="G55" s="167">
        <v>5000</v>
      </c>
      <c r="H55" s="167">
        <v>5000</v>
      </c>
      <c r="I55" s="167">
        <v>5000</v>
      </c>
      <c r="J55" s="167"/>
      <c r="M55" s="7"/>
      <c r="N55" s="7"/>
      <c r="O55" s="7"/>
    </row>
    <row r="56" spans="1:148" ht="18" customHeight="1" x14ac:dyDescent="0.25">
      <c r="A56" s="14">
        <v>211</v>
      </c>
      <c r="B56" s="20" t="s">
        <v>86</v>
      </c>
      <c r="C56" s="22" t="s">
        <v>1149</v>
      </c>
      <c r="D56" s="108" t="s">
        <v>121</v>
      </c>
      <c r="E56" s="167">
        <v>1500</v>
      </c>
      <c r="F56" s="166"/>
      <c r="G56" s="167">
        <v>1500</v>
      </c>
      <c r="H56" s="167">
        <v>1500</v>
      </c>
      <c r="I56" s="167">
        <v>1500</v>
      </c>
      <c r="J56" s="167"/>
      <c r="M56" s="7"/>
      <c r="N56" s="7"/>
      <c r="O56" s="7"/>
    </row>
    <row r="57" spans="1:148" ht="18" customHeight="1" x14ac:dyDescent="0.25">
      <c r="A57" s="14">
        <v>211</v>
      </c>
      <c r="B57" s="20" t="s">
        <v>86</v>
      </c>
      <c r="C57" s="22" t="s">
        <v>1150</v>
      </c>
      <c r="D57" s="108" t="s">
        <v>122</v>
      </c>
      <c r="E57" s="167">
        <v>11000</v>
      </c>
      <c r="F57" s="166"/>
      <c r="G57" s="167">
        <v>11000</v>
      </c>
      <c r="H57" s="167">
        <v>11000</v>
      </c>
      <c r="I57" s="167">
        <v>11000</v>
      </c>
      <c r="J57" s="167"/>
      <c r="M57" s="7"/>
      <c r="N57" s="7"/>
      <c r="O57" s="7"/>
    </row>
    <row r="58" spans="1:148" ht="18" customHeight="1" x14ac:dyDescent="0.25">
      <c r="A58" s="14">
        <v>211</v>
      </c>
      <c r="B58" s="20" t="s">
        <v>86</v>
      </c>
      <c r="C58" s="22" t="s">
        <v>1151</v>
      </c>
      <c r="D58" s="108" t="s">
        <v>123</v>
      </c>
      <c r="E58" s="167">
        <v>250</v>
      </c>
      <c r="F58" s="166"/>
      <c r="G58" s="167">
        <v>250</v>
      </c>
      <c r="H58" s="167">
        <v>250</v>
      </c>
      <c r="I58" s="167">
        <v>250</v>
      </c>
      <c r="J58" s="167"/>
      <c r="M58" s="7"/>
      <c r="N58" s="7"/>
      <c r="O58" s="7"/>
    </row>
    <row r="59" spans="1:148" ht="18" customHeight="1" x14ac:dyDescent="0.25">
      <c r="A59" s="14">
        <v>211</v>
      </c>
      <c r="B59" s="20" t="s">
        <v>86</v>
      </c>
      <c r="C59" s="22"/>
      <c r="D59" s="211" t="s">
        <v>480</v>
      </c>
      <c r="E59" s="212"/>
      <c r="F59" s="213"/>
      <c r="G59" s="212">
        <v>2000</v>
      </c>
      <c r="H59" s="167"/>
      <c r="I59" s="167"/>
      <c r="J59" s="167"/>
      <c r="M59" s="7"/>
      <c r="N59" s="7"/>
      <c r="O59" s="7"/>
    </row>
    <row r="60" spans="1:148" ht="18" customHeight="1" x14ac:dyDescent="0.25">
      <c r="A60" s="17" t="s">
        <v>76</v>
      </c>
      <c r="B60" s="21" t="s">
        <v>31</v>
      </c>
      <c r="C60" s="19" t="s">
        <v>31</v>
      </c>
      <c r="D60" s="21" t="s">
        <v>31</v>
      </c>
      <c r="E60" s="168">
        <f>SUM(E53:E59)</f>
        <v>38644</v>
      </c>
      <c r="F60" s="166"/>
      <c r="G60" s="168">
        <f>SUM(G53:G59)</f>
        <v>40644</v>
      </c>
      <c r="H60" s="168">
        <f>SUM(H53:H59)</f>
        <v>38644</v>
      </c>
      <c r="I60" s="168">
        <f t="shared" ref="I60:J60" si="2">SUM(I53:I58)</f>
        <v>38644</v>
      </c>
      <c r="J60" s="168">
        <f t="shared" si="2"/>
        <v>0</v>
      </c>
      <c r="M60" s="7"/>
      <c r="N60" s="7"/>
      <c r="O60" s="7"/>
    </row>
    <row r="61" spans="1:148" ht="18" customHeight="1" x14ac:dyDescent="0.25">
      <c r="A61" s="14">
        <v>212</v>
      </c>
      <c r="B61" s="20" t="s">
        <v>87</v>
      </c>
      <c r="C61" s="22" t="s">
        <v>990</v>
      </c>
      <c r="D61" s="108" t="s">
        <v>124</v>
      </c>
      <c r="E61" s="167">
        <v>195450</v>
      </c>
      <c r="F61" s="166"/>
      <c r="G61" s="167">
        <v>195472</v>
      </c>
      <c r="H61" s="167">
        <v>195472</v>
      </c>
      <c r="I61" s="167">
        <v>195472</v>
      </c>
      <c r="J61" s="167"/>
      <c r="M61" s="7"/>
      <c r="N61" s="7"/>
      <c r="O61" s="7"/>
    </row>
    <row r="62" spans="1:148" s="10" customFormat="1" ht="18" customHeight="1" x14ac:dyDescent="0.25">
      <c r="A62" s="14">
        <v>212</v>
      </c>
      <c r="B62" s="20" t="s">
        <v>87</v>
      </c>
      <c r="C62" s="22" t="s">
        <v>991</v>
      </c>
      <c r="D62" s="108" t="s">
        <v>125</v>
      </c>
      <c r="E62" s="167">
        <v>1000</v>
      </c>
      <c r="F62" s="166"/>
      <c r="G62" s="167">
        <v>1000</v>
      </c>
      <c r="H62" s="167">
        <v>1000</v>
      </c>
      <c r="I62" s="167">
        <v>1000</v>
      </c>
      <c r="J62" s="167"/>
      <c r="K62" s="217"/>
      <c r="L62" s="8"/>
      <c r="M62" s="7"/>
      <c r="N62" s="7"/>
      <c r="O62" s="7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</row>
    <row r="63" spans="1:148" ht="18" customHeight="1" x14ac:dyDescent="0.25">
      <c r="A63" s="14">
        <v>212</v>
      </c>
      <c r="B63" s="20" t="s">
        <v>87</v>
      </c>
      <c r="C63" s="22" t="s">
        <v>992</v>
      </c>
      <c r="D63" s="108" t="s">
        <v>126</v>
      </c>
      <c r="E63" s="167">
        <v>500</v>
      </c>
      <c r="F63" s="166"/>
      <c r="G63" s="167">
        <v>1500</v>
      </c>
      <c r="H63" s="167">
        <v>500</v>
      </c>
      <c r="I63" s="167">
        <v>500</v>
      </c>
      <c r="J63" s="167"/>
      <c r="M63" s="7"/>
      <c r="N63" s="7"/>
      <c r="O63" s="7"/>
    </row>
    <row r="64" spans="1:148" ht="18" customHeight="1" x14ac:dyDescent="0.25">
      <c r="A64" s="14">
        <v>212</v>
      </c>
      <c r="B64" s="20" t="s">
        <v>87</v>
      </c>
      <c r="C64" s="22" t="s">
        <v>993</v>
      </c>
      <c r="D64" s="108" t="s">
        <v>127</v>
      </c>
      <c r="E64" s="167">
        <v>3000</v>
      </c>
      <c r="F64" s="166"/>
      <c r="G64" s="167">
        <v>3000</v>
      </c>
      <c r="H64" s="167">
        <v>3000</v>
      </c>
      <c r="I64" s="167">
        <v>3000</v>
      </c>
      <c r="J64" s="167"/>
      <c r="M64" s="7"/>
      <c r="N64" s="7"/>
      <c r="O64" s="7"/>
    </row>
    <row r="65" spans="1:148" ht="18" customHeight="1" x14ac:dyDescent="0.25">
      <c r="A65" s="14">
        <v>212</v>
      </c>
      <c r="B65" s="20" t="s">
        <v>87</v>
      </c>
      <c r="C65" s="22" t="s">
        <v>994</v>
      </c>
      <c r="D65" s="108" t="s">
        <v>128</v>
      </c>
      <c r="E65" s="167">
        <v>4500</v>
      </c>
      <c r="F65" s="166"/>
      <c r="G65" s="167">
        <v>4500</v>
      </c>
      <c r="H65" s="171">
        <v>4500</v>
      </c>
      <c r="I65" s="167">
        <v>4500</v>
      </c>
      <c r="J65" s="167"/>
      <c r="M65" s="7"/>
      <c r="N65" s="7"/>
      <c r="O65" s="7"/>
    </row>
    <row r="66" spans="1:148" ht="18" customHeight="1" x14ac:dyDescent="0.25">
      <c r="A66" s="14">
        <v>212</v>
      </c>
      <c r="B66" s="20" t="s">
        <v>87</v>
      </c>
      <c r="C66" s="22" t="s">
        <v>995</v>
      </c>
      <c r="D66" s="108" t="s">
        <v>129</v>
      </c>
      <c r="E66" s="167">
        <v>1500</v>
      </c>
      <c r="F66" s="166"/>
      <c r="G66" s="167">
        <v>1500</v>
      </c>
      <c r="H66" s="167">
        <v>1500</v>
      </c>
      <c r="I66" s="167">
        <v>1500</v>
      </c>
      <c r="J66" s="167"/>
      <c r="M66" s="7"/>
      <c r="N66" s="7"/>
      <c r="O66" s="7"/>
    </row>
    <row r="67" spans="1:148" ht="18" customHeight="1" x14ac:dyDescent="0.25">
      <c r="A67" s="14">
        <v>212</v>
      </c>
      <c r="B67" s="20" t="s">
        <v>87</v>
      </c>
      <c r="C67" s="22" t="s">
        <v>996</v>
      </c>
      <c r="D67" s="108" t="s">
        <v>130</v>
      </c>
      <c r="E67" s="167">
        <v>2000</v>
      </c>
      <c r="F67" s="166"/>
      <c r="G67" s="167">
        <v>4000</v>
      </c>
      <c r="H67" s="167">
        <v>2000</v>
      </c>
      <c r="I67" s="167">
        <v>2000</v>
      </c>
      <c r="J67" s="167"/>
      <c r="M67" s="7"/>
      <c r="N67" s="7"/>
      <c r="O67" s="7"/>
    </row>
    <row r="68" spans="1:148" ht="18" customHeight="1" x14ac:dyDescent="0.25">
      <c r="A68" s="14">
        <v>212</v>
      </c>
      <c r="B68" s="20" t="s">
        <v>87</v>
      </c>
      <c r="C68" s="22" t="s">
        <v>997</v>
      </c>
      <c r="D68" s="108" t="s">
        <v>131</v>
      </c>
      <c r="E68" s="167">
        <v>8000</v>
      </c>
      <c r="F68" s="166"/>
      <c r="G68" s="167">
        <v>9000</v>
      </c>
      <c r="H68" s="167">
        <v>9000</v>
      </c>
      <c r="I68" s="167">
        <v>9000</v>
      </c>
      <c r="J68" s="167"/>
      <c r="M68" s="7"/>
      <c r="N68" s="7"/>
      <c r="O68" s="7"/>
    </row>
    <row r="69" spans="1:148" ht="18" customHeight="1" x14ac:dyDescent="0.25">
      <c r="A69" s="14">
        <v>212</v>
      </c>
      <c r="B69" s="20" t="s">
        <v>87</v>
      </c>
      <c r="C69" s="22" t="s">
        <v>998</v>
      </c>
      <c r="D69" s="108" t="s">
        <v>132</v>
      </c>
      <c r="E69" s="167">
        <v>900</v>
      </c>
      <c r="F69" s="166"/>
      <c r="G69" s="167">
        <v>900</v>
      </c>
      <c r="H69" s="167">
        <v>900</v>
      </c>
      <c r="I69" s="167">
        <v>900</v>
      </c>
      <c r="J69" s="167"/>
      <c r="M69" s="7"/>
      <c r="N69" s="7"/>
      <c r="O69" s="7"/>
    </row>
    <row r="70" spans="1:148" s="10" customFormat="1" ht="18" customHeight="1" x14ac:dyDescent="0.25">
      <c r="A70" s="14">
        <v>212</v>
      </c>
      <c r="B70" s="20" t="s">
        <v>87</v>
      </c>
      <c r="C70" s="22" t="s">
        <v>999</v>
      </c>
      <c r="D70" s="108" t="s">
        <v>133</v>
      </c>
      <c r="E70" s="167">
        <v>700</v>
      </c>
      <c r="F70" s="166"/>
      <c r="G70" s="167">
        <v>700</v>
      </c>
      <c r="H70" s="167">
        <v>700</v>
      </c>
      <c r="I70" s="167">
        <v>700</v>
      </c>
      <c r="J70" s="167"/>
      <c r="K70" s="217"/>
      <c r="L70" s="8"/>
      <c r="M70" s="7"/>
      <c r="N70" s="7"/>
      <c r="O70" s="7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</row>
    <row r="71" spans="1:148" ht="18" customHeight="1" x14ac:dyDescent="0.25">
      <c r="A71" s="14">
        <v>212</v>
      </c>
      <c r="B71" s="20" t="s">
        <v>87</v>
      </c>
      <c r="C71" s="22" t="s">
        <v>1000</v>
      </c>
      <c r="D71" s="108" t="s">
        <v>134</v>
      </c>
      <c r="E71" s="167">
        <v>14000</v>
      </c>
      <c r="F71" s="166"/>
      <c r="G71" s="167">
        <v>14000</v>
      </c>
      <c r="H71" s="167">
        <v>14000</v>
      </c>
      <c r="I71" s="167">
        <v>14000</v>
      </c>
      <c r="J71" s="167"/>
      <c r="M71" s="7"/>
      <c r="N71" s="7"/>
      <c r="O71" s="7"/>
    </row>
    <row r="72" spans="1:148" ht="18" customHeight="1" x14ac:dyDescent="0.25">
      <c r="A72" s="17" t="s">
        <v>77</v>
      </c>
      <c r="B72" s="21" t="s">
        <v>31</v>
      </c>
      <c r="C72" s="19" t="s">
        <v>31</v>
      </c>
      <c r="D72" s="21" t="s">
        <v>31</v>
      </c>
      <c r="E72" s="168">
        <f>SUM(E61:E71)</f>
        <v>231550</v>
      </c>
      <c r="F72" s="166"/>
      <c r="G72" s="168">
        <f>SUM(G61:G71)</f>
        <v>235572</v>
      </c>
      <c r="H72" s="168">
        <f>SUM(H61:H71)</f>
        <v>232572</v>
      </c>
      <c r="I72" s="168">
        <f>SUM(I61:I71)</f>
        <v>232572</v>
      </c>
      <c r="J72" s="168">
        <f>SUM(J61:J71)</f>
        <v>0</v>
      </c>
      <c r="M72" s="7"/>
      <c r="N72" s="7"/>
      <c r="O72" s="7"/>
    </row>
    <row r="73" spans="1:148" ht="18" customHeight="1" x14ac:dyDescent="0.25">
      <c r="A73" s="14">
        <v>214</v>
      </c>
      <c r="B73" s="20" t="s">
        <v>88</v>
      </c>
      <c r="C73" s="22" t="s">
        <v>1201</v>
      </c>
      <c r="D73" s="108" t="s">
        <v>135</v>
      </c>
      <c r="E73" s="167">
        <v>196117</v>
      </c>
      <c r="F73" s="166"/>
      <c r="G73" s="167">
        <v>184026</v>
      </c>
      <c r="H73" s="167">
        <v>184026</v>
      </c>
      <c r="I73" s="167">
        <v>184026</v>
      </c>
      <c r="J73" s="167"/>
      <c r="M73" s="7"/>
      <c r="N73" s="7"/>
      <c r="O73" s="7"/>
    </row>
    <row r="74" spans="1:148" ht="18" customHeight="1" x14ac:dyDescent="0.25">
      <c r="A74" s="14">
        <v>214</v>
      </c>
      <c r="B74" s="20" t="s">
        <v>88</v>
      </c>
      <c r="C74" s="22" t="s">
        <v>1202</v>
      </c>
      <c r="D74" s="108" t="s">
        <v>136</v>
      </c>
      <c r="E74" s="167">
        <v>250</v>
      </c>
      <c r="F74" s="166"/>
      <c r="G74" s="167">
        <v>350</v>
      </c>
      <c r="H74" s="167">
        <v>350</v>
      </c>
      <c r="I74" s="167">
        <v>350</v>
      </c>
      <c r="J74" s="167"/>
      <c r="M74" s="7"/>
      <c r="N74" s="7"/>
      <c r="O74" s="7"/>
    </row>
    <row r="75" spans="1:148" ht="18" customHeight="1" x14ac:dyDescent="0.25">
      <c r="A75" s="14">
        <v>214</v>
      </c>
      <c r="B75" s="20" t="s">
        <v>88</v>
      </c>
      <c r="C75" s="22" t="s">
        <v>1203</v>
      </c>
      <c r="D75" s="108" t="s">
        <v>137</v>
      </c>
      <c r="E75" s="167">
        <v>1500</v>
      </c>
      <c r="F75" s="166"/>
      <c r="G75" s="167">
        <v>1500</v>
      </c>
      <c r="H75" s="167">
        <v>1500</v>
      </c>
      <c r="I75" s="167">
        <v>1500</v>
      </c>
      <c r="J75" s="167"/>
      <c r="M75" s="7"/>
      <c r="N75" s="7"/>
      <c r="O75" s="7"/>
    </row>
    <row r="76" spans="1:148" ht="18" customHeight="1" x14ac:dyDescent="0.25">
      <c r="A76" s="14">
        <v>214</v>
      </c>
      <c r="B76" s="20" t="s">
        <v>88</v>
      </c>
      <c r="C76" s="22" t="s">
        <v>1204</v>
      </c>
      <c r="D76" s="108" t="s">
        <v>138</v>
      </c>
      <c r="E76" s="167">
        <v>800</v>
      </c>
      <c r="F76" s="166"/>
      <c r="G76" s="167">
        <v>800</v>
      </c>
      <c r="H76" s="167">
        <v>800</v>
      </c>
      <c r="I76" s="167">
        <v>800</v>
      </c>
      <c r="J76" s="167"/>
      <c r="M76" s="7"/>
      <c r="N76" s="7"/>
      <c r="O76" s="7"/>
    </row>
    <row r="77" spans="1:148" ht="18" customHeight="1" x14ac:dyDescent="0.25">
      <c r="A77" s="14">
        <v>214</v>
      </c>
      <c r="B77" s="20" t="s">
        <v>88</v>
      </c>
      <c r="C77" s="22" t="s">
        <v>1205</v>
      </c>
      <c r="D77" s="108" t="s">
        <v>139</v>
      </c>
      <c r="E77" s="167">
        <v>1500</v>
      </c>
      <c r="F77" s="166"/>
      <c r="G77" s="167">
        <v>1500</v>
      </c>
      <c r="H77" s="167">
        <v>1500</v>
      </c>
      <c r="I77" s="167">
        <v>1500</v>
      </c>
      <c r="J77" s="167"/>
      <c r="M77" s="7"/>
      <c r="N77" s="7"/>
      <c r="O77" s="7"/>
    </row>
    <row r="78" spans="1:148" ht="18" customHeight="1" x14ac:dyDescent="0.25">
      <c r="A78" s="14">
        <v>214</v>
      </c>
      <c r="B78" s="20" t="s">
        <v>88</v>
      </c>
      <c r="C78" s="22" t="s">
        <v>1206</v>
      </c>
      <c r="D78" s="108" t="s">
        <v>140</v>
      </c>
      <c r="E78" s="167">
        <v>1500</v>
      </c>
      <c r="F78" s="166"/>
      <c r="G78" s="167">
        <v>1350</v>
      </c>
      <c r="H78" s="167">
        <v>1350</v>
      </c>
      <c r="I78" s="167">
        <v>1350</v>
      </c>
      <c r="J78" s="167"/>
      <c r="M78" s="7"/>
      <c r="N78" s="7"/>
      <c r="O78" s="7"/>
    </row>
    <row r="79" spans="1:148" ht="18" customHeight="1" x14ac:dyDescent="0.25">
      <c r="A79" s="14">
        <v>214</v>
      </c>
      <c r="B79" s="20" t="s">
        <v>88</v>
      </c>
      <c r="C79" s="22" t="s">
        <v>1207</v>
      </c>
      <c r="D79" s="108" t="s">
        <v>141</v>
      </c>
      <c r="E79" s="167">
        <v>6000</v>
      </c>
      <c r="F79" s="166"/>
      <c r="G79" s="167">
        <v>8000</v>
      </c>
      <c r="H79" s="167">
        <v>6000</v>
      </c>
      <c r="I79" s="167">
        <v>6000</v>
      </c>
      <c r="J79" s="167"/>
      <c r="M79" s="7"/>
      <c r="N79" s="7"/>
      <c r="O79" s="7"/>
    </row>
    <row r="80" spans="1:148" ht="18" customHeight="1" x14ac:dyDescent="0.25">
      <c r="A80" s="14">
        <v>214</v>
      </c>
      <c r="B80" s="20" t="s">
        <v>88</v>
      </c>
      <c r="C80" s="22" t="s">
        <v>1208</v>
      </c>
      <c r="D80" s="108" t="s">
        <v>142</v>
      </c>
      <c r="E80" s="167">
        <v>6200</v>
      </c>
      <c r="F80" s="166"/>
      <c r="G80" s="167">
        <v>6200</v>
      </c>
      <c r="H80" s="167">
        <v>6200</v>
      </c>
      <c r="I80" s="167">
        <v>6200</v>
      </c>
      <c r="J80" s="167"/>
      <c r="M80" s="7"/>
      <c r="N80" s="7"/>
      <c r="O80" s="7"/>
    </row>
    <row r="81" spans="1:148" ht="18" customHeight="1" x14ac:dyDescent="0.25">
      <c r="A81" s="17" t="s">
        <v>78</v>
      </c>
      <c r="B81" s="21" t="s">
        <v>31</v>
      </c>
      <c r="C81" s="19" t="s">
        <v>31</v>
      </c>
      <c r="D81" s="21" t="s">
        <v>31</v>
      </c>
      <c r="E81" s="168">
        <f>SUM(E73:E80)</f>
        <v>213867</v>
      </c>
      <c r="F81" s="166"/>
      <c r="G81" s="168">
        <f>SUM(G73:G80)</f>
        <v>203726</v>
      </c>
      <c r="H81" s="168">
        <f>SUM(H73:H80)</f>
        <v>201726</v>
      </c>
      <c r="I81" s="168">
        <f t="shared" ref="I81:J81" si="3">SUM(I73:I80)</f>
        <v>201726</v>
      </c>
      <c r="J81" s="168">
        <f t="shared" si="3"/>
        <v>0</v>
      </c>
      <c r="M81" s="7"/>
      <c r="N81" s="7"/>
      <c r="O81" s="7"/>
    </row>
    <row r="82" spans="1:148" s="10" customFormat="1" ht="18" customHeight="1" x14ac:dyDescent="0.25">
      <c r="A82" s="14">
        <v>216</v>
      </c>
      <c r="B82" s="20" t="s">
        <v>90</v>
      </c>
      <c r="C82" s="22" t="s">
        <v>916</v>
      </c>
      <c r="D82" s="108" t="s">
        <v>150</v>
      </c>
      <c r="E82" s="167">
        <v>72750</v>
      </c>
      <c r="F82" s="166"/>
      <c r="G82" s="167">
        <v>75000</v>
      </c>
      <c r="H82" s="167">
        <v>75000</v>
      </c>
      <c r="I82" s="167">
        <v>75000</v>
      </c>
      <c r="J82" s="167"/>
      <c r="K82" s="217"/>
      <c r="L82" s="8"/>
      <c r="M82" s="7"/>
      <c r="N82" s="7"/>
      <c r="O82" s="7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</row>
    <row r="83" spans="1:148" ht="18" customHeight="1" x14ac:dyDescent="0.25">
      <c r="A83" s="14">
        <v>216</v>
      </c>
      <c r="B83" s="20" t="s">
        <v>90</v>
      </c>
      <c r="C83" s="22" t="s">
        <v>917</v>
      </c>
      <c r="D83" s="108" t="s">
        <v>151</v>
      </c>
      <c r="E83" s="167">
        <v>30522</v>
      </c>
      <c r="F83" s="166"/>
      <c r="G83" s="167">
        <v>32500</v>
      </c>
      <c r="H83" s="167">
        <v>32500</v>
      </c>
      <c r="I83" s="167">
        <v>32500</v>
      </c>
      <c r="J83" s="167"/>
      <c r="M83" s="7"/>
      <c r="N83" s="7"/>
      <c r="O83" s="7"/>
    </row>
    <row r="84" spans="1:148" ht="18" customHeight="1" x14ac:dyDescent="0.25">
      <c r="A84" s="14">
        <v>216</v>
      </c>
      <c r="B84" s="20" t="s">
        <v>90</v>
      </c>
      <c r="C84" s="22" t="s">
        <v>918</v>
      </c>
      <c r="D84" s="108" t="s">
        <v>481</v>
      </c>
      <c r="E84" s="167">
        <v>30000</v>
      </c>
      <c r="F84" s="166"/>
      <c r="G84" s="167">
        <v>32000</v>
      </c>
      <c r="H84" s="212">
        <v>32000</v>
      </c>
      <c r="I84" s="167">
        <v>32000</v>
      </c>
      <c r="J84" s="167"/>
      <c r="M84" s="7"/>
      <c r="N84" s="7"/>
      <c r="O84" s="7"/>
    </row>
    <row r="85" spans="1:148" ht="18" customHeight="1" x14ac:dyDescent="0.25">
      <c r="A85" s="14">
        <v>216</v>
      </c>
      <c r="B85" s="20" t="s">
        <v>90</v>
      </c>
      <c r="C85" s="22" t="s">
        <v>919</v>
      </c>
      <c r="D85" s="108" t="s">
        <v>152</v>
      </c>
      <c r="E85" s="167">
        <v>6000</v>
      </c>
      <c r="F85" s="166"/>
      <c r="G85" s="167">
        <v>6000</v>
      </c>
      <c r="H85" s="167">
        <v>6000</v>
      </c>
      <c r="I85" s="167">
        <v>6000</v>
      </c>
      <c r="J85" s="167"/>
      <c r="M85" s="7"/>
      <c r="N85" s="7"/>
      <c r="O85" s="7"/>
    </row>
    <row r="86" spans="1:148" ht="18" customHeight="1" x14ac:dyDescent="0.25">
      <c r="A86" s="14">
        <v>216</v>
      </c>
      <c r="B86" s="20" t="s">
        <v>90</v>
      </c>
      <c r="C86" s="22" t="s">
        <v>920</v>
      </c>
      <c r="D86" s="108" t="s">
        <v>153</v>
      </c>
      <c r="E86" s="167">
        <v>0</v>
      </c>
      <c r="F86" s="166"/>
      <c r="G86" s="167"/>
      <c r="H86" s="167"/>
      <c r="I86" s="167"/>
      <c r="J86" s="167"/>
      <c r="M86" s="7"/>
      <c r="N86" s="7"/>
      <c r="O86" s="7"/>
    </row>
    <row r="87" spans="1:148" ht="18" customHeight="1" x14ac:dyDescent="0.25">
      <c r="A87" s="14">
        <v>216</v>
      </c>
      <c r="B87" s="20" t="s">
        <v>90</v>
      </c>
      <c r="C87" s="22" t="s">
        <v>921</v>
      </c>
      <c r="D87" s="108" t="s">
        <v>154</v>
      </c>
      <c r="E87" s="167">
        <v>0</v>
      </c>
      <c r="F87" s="166"/>
      <c r="G87" s="167"/>
      <c r="H87" s="167"/>
      <c r="I87" s="167"/>
      <c r="J87" s="167"/>
      <c r="M87" s="7"/>
      <c r="N87" s="7"/>
      <c r="O87" s="7"/>
    </row>
    <row r="88" spans="1:148" ht="18" customHeight="1" x14ac:dyDescent="0.25">
      <c r="A88" s="14">
        <v>216</v>
      </c>
      <c r="B88" s="20" t="s">
        <v>90</v>
      </c>
      <c r="C88" s="22" t="s">
        <v>922</v>
      </c>
      <c r="D88" s="108" t="s">
        <v>155</v>
      </c>
      <c r="E88" s="167">
        <v>2000</v>
      </c>
      <c r="F88" s="166"/>
      <c r="G88" s="167">
        <v>2000</v>
      </c>
      <c r="H88" s="167">
        <v>2000</v>
      </c>
      <c r="I88" s="167">
        <v>2000</v>
      </c>
      <c r="J88" s="167"/>
      <c r="M88" s="7"/>
      <c r="N88" s="7"/>
      <c r="O88" s="7"/>
    </row>
    <row r="89" spans="1:148" ht="18" customHeight="1" x14ac:dyDescent="0.25">
      <c r="A89" s="14">
        <v>216</v>
      </c>
      <c r="B89" s="20" t="s">
        <v>90</v>
      </c>
      <c r="C89" s="22" t="s">
        <v>923</v>
      </c>
      <c r="D89" s="108" t="s">
        <v>156</v>
      </c>
      <c r="E89" s="167">
        <v>1000</v>
      </c>
      <c r="F89" s="166"/>
      <c r="G89" s="167">
        <v>1000</v>
      </c>
      <c r="H89" s="167">
        <v>1000</v>
      </c>
      <c r="I89" s="167">
        <v>1000</v>
      </c>
      <c r="J89" s="167"/>
      <c r="M89" s="7"/>
      <c r="N89" s="7"/>
      <c r="O89" s="7"/>
    </row>
    <row r="90" spans="1:148" ht="18" customHeight="1" x14ac:dyDescent="0.25">
      <c r="A90" s="14">
        <v>216</v>
      </c>
      <c r="B90" s="20" t="s">
        <v>90</v>
      </c>
      <c r="C90" s="22" t="s">
        <v>924</v>
      </c>
      <c r="D90" s="108" t="s">
        <v>157</v>
      </c>
      <c r="E90" s="167">
        <v>500</v>
      </c>
      <c r="F90" s="166"/>
      <c r="G90" s="167">
        <v>500</v>
      </c>
      <c r="H90" s="167">
        <v>500</v>
      </c>
      <c r="I90" s="167">
        <v>500</v>
      </c>
      <c r="J90" s="167"/>
      <c r="M90" s="7"/>
      <c r="N90" s="7"/>
      <c r="O90" s="7"/>
    </row>
    <row r="91" spans="1:148" s="10" customFormat="1" ht="18" customHeight="1" x14ac:dyDescent="0.25">
      <c r="A91" s="14">
        <v>216</v>
      </c>
      <c r="B91" s="20" t="s">
        <v>90</v>
      </c>
      <c r="C91" s="22" t="s">
        <v>925</v>
      </c>
      <c r="D91" s="108" t="s">
        <v>158</v>
      </c>
      <c r="E91" s="167">
        <v>0</v>
      </c>
      <c r="F91" s="166"/>
      <c r="G91" s="167"/>
      <c r="H91" s="167"/>
      <c r="I91" s="167"/>
      <c r="J91" s="167"/>
      <c r="K91" s="217"/>
      <c r="L91" s="8"/>
      <c r="M91" s="7"/>
      <c r="N91" s="7"/>
      <c r="O91" s="7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</row>
    <row r="92" spans="1:148" ht="18" customHeight="1" x14ac:dyDescent="0.25">
      <c r="A92" s="14">
        <v>216</v>
      </c>
      <c r="B92" s="20" t="s">
        <v>90</v>
      </c>
      <c r="C92" s="22" t="s">
        <v>926</v>
      </c>
      <c r="D92" s="108" t="s">
        <v>159</v>
      </c>
      <c r="E92" s="167">
        <v>20000</v>
      </c>
      <c r="F92" s="166"/>
      <c r="G92" s="167">
        <v>20000</v>
      </c>
      <c r="H92" s="167">
        <v>20000</v>
      </c>
      <c r="I92" s="167">
        <v>20000</v>
      </c>
      <c r="J92" s="167"/>
      <c r="M92" s="7"/>
      <c r="N92" s="7"/>
      <c r="O92" s="7"/>
    </row>
    <row r="93" spans="1:148" ht="18" customHeight="1" x14ac:dyDescent="0.25">
      <c r="A93" s="14">
        <v>216</v>
      </c>
      <c r="B93" s="20" t="s">
        <v>90</v>
      </c>
      <c r="C93" s="22" t="s">
        <v>927</v>
      </c>
      <c r="D93" s="108" t="s">
        <v>160</v>
      </c>
      <c r="E93" s="167">
        <v>8500</v>
      </c>
      <c r="F93" s="166"/>
      <c r="G93" s="167">
        <v>8500</v>
      </c>
      <c r="H93" s="167">
        <v>8500</v>
      </c>
      <c r="I93" s="167">
        <v>8500</v>
      </c>
      <c r="J93" s="167"/>
      <c r="M93" s="7"/>
      <c r="N93" s="7"/>
      <c r="O93" s="7"/>
    </row>
    <row r="94" spans="1:148" ht="18" customHeight="1" x14ac:dyDescent="0.25">
      <c r="A94" s="14">
        <v>216</v>
      </c>
      <c r="B94" s="20" t="s">
        <v>90</v>
      </c>
      <c r="C94" s="22" t="s">
        <v>928</v>
      </c>
      <c r="D94" s="108" t="s">
        <v>161</v>
      </c>
      <c r="E94" s="167">
        <v>1000</v>
      </c>
      <c r="F94" s="166"/>
      <c r="G94" s="167">
        <v>1000</v>
      </c>
      <c r="H94" s="167">
        <v>2000</v>
      </c>
      <c r="I94" s="167">
        <v>2000</v>
      </c>
      <c r="J94" s="167"/>
      <c r="M94" s="7"/>
      <c r="N94" s="7"/>
      <c r="O94" s="7"/>
    </row>
    <row r="95" spans="1:148" ht="18" customHeight="1" x14ac:dyDescent="0.25">
      <c r="A95" s="17" t="s">
        <v>79</v>
      </c>
      <c r="B95" s="21" t="s">
        <v>31</v>
      </c>
      <c r="C95" s="19" t="s">
        <v>31</v>
      </c>
      <c r="D95" s="21" t="s">
        <v>31</v>
      </c>
      <c r="E95" s="168">
        <f>SUM(E82:E94)</f>
        <v>172272</v>
      </c>
      <c r="F95" s="166"/>
      <c r="G95" s="168">
        <f>SUM(G82:G94)</f>
        <v>178500</v>
      </c>
      <c r="H95" s="168">
        <f>SUM(H82:H94)</f>
        <v>179500</v>
      </c>
      <c r="I95" s="168">
        <f>SUM(I82:I94)</f>
        <v>179500</v>
      </c>
      <c r="J95" s="168">
        <f>SUM(J82:J94)</f>
        <v>0</v>
      </c>
      <c r="M95" s="7"/>
      <c r="N95" s="7"/>
      <c r="O95" s="7"/>
    </row>
    <row r="96" spans="1:148" ht="18" customHeight="1" x14ac:dyDescent="0.25">
      <c r="A96" s="14">
        <v>217</v>
      </c>
      <c r="B96" s="20" t="s">
        <v>69</v>
      </c>
      <c r="C96" s="22" t="s">
        <v>1010</v>
      </c>
      <c r="D96" s="108" t="s">
        <v>71</v>
      </c>
      <c r="E96" s="167"/>
      <c r="F96" s="166"/>
      <c r="G96" s="167"/>
      <c r="H96" s="167"/>
      <c r="I96" s="167"/>
      <c r="J96" s="167"/>
      <c r="M96" s="7"/>
      <c r="N96" s="7"/>
      <c r="O96" s="7"/>
    </row>
    <row r="97" spans="1:148" ht="18" customHeight="1" x14ac:dyDescent="0.25">
      <c r="A97" s="14">
        <v>217</v>
      </c>
      <c r="B97" s="20" t="s">
        <v>69</v>
      </c>
      <c r="C97" s="22" t="s">
        <v>1020</v>
      </c>
      <c r="D97" s="108" t="s">
        <v>344</v>
      </c>
      <c r="E97" s="167">
        <v>250000</v>
      </c>
      <c r="F97" s="166"/>
      <c r="G97" s="167">
        <v>250000</v>
      </c>
      <c r="H97" s="167">
        <v>250000</v>
      </c>
      <c r="I97" s="167">
        <v>250000</v>
      </c>
      <c r="J97" s="167"/>
      <c r="M97" s="7"/>
      <c r="N97" s="7"/>
      <c r="O97" s="7"/>
    </row>
    <row r="98" spans="1:148" ht="18" customHeight="1" x14ac:dyDescent="0.25">
      <c r="A98" s="14">
        <v>217</v>
      </c>
      <c r="B98" s="20" t="s">
        <v>69</v>
      </c>
      <c r="C98" s="22" t="s">
        <v>1021</v>
      </c>
      <c r="D98" s="108" t="s">
        <v>70</v>
      </c>
      <c r="E98" s="167">
        <v>90000</v>
      </c>
      <c r="F98" s="166"/>
      <c r="G98" s="167">
        <v>90000</v>
      </c>
      <c r="H98" s="167">
        <v>90000</v>
      </c>
      <c r="I98" s="167">
        <v>90000</v>
      </c>
      <c r="J98" s="167"/>
      <c r="M98" s="7"/>
      <c r="N98" s="7"/>
      <c r="O98" s="7"/>
    </row>
    <row r="99" spans="1:148" ht="18" customHeight="1" x14ac:dyDescent="0.25">
      <c r="A99" s="14">
        <v>217</v>
      </c>
      <c r="B99" s="20" t="s">
        <v>69</v>
      </c>
      <c r="C99" s="22" t="s">
        <v>1022</v>
      </c>
      <c r="D99" s="108" t="s">
        <v>72</v>
      </c>
      <c r="E99" s="167">
        <v>30000</v>
      </c>
      <c r="F99" s="166"/>
      <c r="G99" s="167">
        <v>30000</v>
      </c>
      <c r="H99" s="167">
        <v>30000</v>
      </c>
      <c r="I99" s="167">
        <v>30000</v>
      </c>
      <c r="J99" s="167"/>
      <c r="M99" s="7"/>
      <c r="N99" s="7"/>
      <c r="O99" s="7"/>
    </row>
    <row r="100" spans="1:148" ht="18" customHeight="1" x14ac:dyDescent="0.25">
      <c r="A100" s="17" t="s">
        <v>73</v>
      </c>
      <c r="B100" s="21"/>
      <c r="C100" s="19"/>
      <c r="D100" s="21"/>
      <c r="E100" s="168">
        <f>SUM(E96:E99)</f>
        <v>370000</v>
      </c>
      <c r="F100" s="166"/>
      <c r="G100" s="168">
        <f>SUM(G97:G99)</f>
        <v>370000</v>
      </c>
      <c r="H100" s="168">
        <f>SUM(H97:H99)</f>
        <v>370000</v>
      </c>
      <c r="I100" s="168">
        <f t="shared" ref="I100:J100" si="4">SUM(I97:I99)</f>
        <v>370000</v>
      </c>
      <c r="J100" s="168">
        <f t="shared" si="4"/>
        <v>0</v>
      </c>
      <c r="M100" s="7"/>
      <c r="N100" s="7"/>
      <c r="O100" s="7"/>
    </row>
    <row r="101" spans="1:148" ht="18" customHeight="1" x14ac:dyDescent="0.25">
      <c r="A101" s="14">
        <v>220</v>
      </c>
      <c r="B101" s="20" t="s">
        <v>91</v>
      </c>
      <c r="C101" s="22" t="s">
        <v>1141</v>
      </c>
      <c r="D101" s="108" t="s">
        <v>162</v>
      </c>
      <c r="E101" s="167">
        <v>800</v>
      </c>
      <c r="F101" s="166"/>
      <c r="G101" s="167">
        <v>800</v>
      </c>
      <c r="H101" s="171">
        <v>800</v>
      </c>
      <c r="I101" s="167">
        <v>800</v>
      </c>
      <c r="J101" s="167"/>
      <c r="M101" s="7"/>
      <c r="N101" s="7"/>
      <c r="O101" s="7"/>
    </row>
    <row r="102" spans="1:148" ht="18" customHeight="1" x14ac:dyDescent="0.25">
      <c r="A102" s="14">
        <v>220</v>
      </c>
      <c r="B102" s="20" t="s">
        <v>91</v>
      </c>
      <c r="C102" s="22" t="s">
        <v>1142</v>
      </c>
      <c r="D102" s="108" t="s">
        <v>163</v>
      </c>
      <c r="E102" s="167">
        <v>17000</v>
      </c>
      <c r="F102" s="166"/>
      <c r="G102" s="167">
        <v>17000</v>
      </c>
      <c r="H102" s="171">
        <v>17000</v>
      </c>
      <c r="I102" s="167">
        <v>17000</v>
      </c>
      <c r="J102" s="167"/>
      <c r="M102" s="7"/>
      <c r="N102" s="7"/>
      <c r="O102" s="7"/>
    </row>
    <row r="103" spans="1:148" ht="18" customHeight="1" x14ac:dyDescent="0.25">
      <c r="A103" s="14">
        <v>220</v>
      </c>
      <c r="B103" s="20" t="s">
        <v>91</v>
      </c>
      <c r="C103" s="22" t="s">
        <v>1143</v>
      </c>
      <c r="D103" s="108" t="s">
        <v>164</v>
      </c>
      <c r="E103" s="167">
        <v>10000</v>
      </c>
      <c r="F103" s="166"/>
      <c r="G103" s="167">
        <v>10000</v>
      </c>
      <c r="H103" s="171">
        <v>10750</v>
      </c>
      <c r="I103" s="167">
        <v>10750</v>
      </c>
      <c r="J103" s="167"/>
      <c r="M103" s="7"/>
      <c r="N103" s="7"/>
      <c r="O103" s="7"/>
    </row>
    <row r="104" spans="1:148" ht="18" customHeight="1" x14ac:dyDescent="0.25">
      <c r="A104" s="14">
        <v>220</v>
      </c>
      <c r="B104" s="20" t="s">
        <v>91</v>
      </c>
      <c r="C104" s="22" t="s">
        <v>1144</v>
      </c>
      <c r="D104" s="108" t="s">
        <v>165</v>
      </c>
      <c r="E104" s="167">
        <v>150</v>
      </c>
      <c r="F104" s="166"/>
      <c r="G104" s="167">
        <v>150</v>
      </c>
      <c r="H104" s="171">
        <v>150</v>
      </c>
      <c r="I104" s="167">
        <v>150</v>
      </c>
      <c r="J104" s="167"/>
      <c r="M104" s="7"/>
      <c r="N104" s="7"/>
      <c r="O104" s="7"/>
    </row>
    <row r="105" spans="1:148" s="10" customFormat="1" ht="18" customHeight="1" x14ac:dyDescent="0.25">
      <c r="A105" s="14">
        <v>220</v>
      </c>
      <c r="B105" s="20" t="s">
        <v>91</v>
      </c>
      <c r="C105" s="22" t="s">
        <v>1145</v>
      </c>
      <c r="D105" s="108" t="s">
        <v>166</v>
      </c>
      <c r="E105" s="167">
        <v>350</v>
      </c>
      <c r="F105" s="166"/>
      <c r="G105" s="167">
        <v>350</v>
      </c>
      <c r="H105" s="171">
        <v>350</v>
      </c>
      <c r="I105" s="167">
        <v>350</v>
      </c>
      <c r="J105" s="167"/>
      <c r="K105" s="217"/>
      <c r="L105" s="8"/>
      <c r="M105" s="7"/>
      <c r="N105" s="7"/>
      <c r="O105" s="7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</row>
    <row r="106" spans="1:148" ht="18" customHeight="1" x14ac:dyDescent="0.25">
      <c r="A106" s="17" t="s">
        <v>32</v>
      </c>
      <c r="B106" s="18"/>
      <c r="C106" s="19"/>
      <c r="D106" s="18"/>
      <c r="E106" s="168">
        <f>SUM(E101:E105)</f>
        <v>28300</v>
      </c>
      <c r="F106" s="166"/>
      <c r="G106" s="168">
        <f>SUM(G101:G105)</f>
        <v>28300</v>
      </c>
      <c r="H106" s="168">
        <f>SUM(H101:H105)</f>
        <v>29050</v>
      </c>
      <c r="I106" s="168">
        <f t="shared" ref="I106:J106" si="5">SUM(I101:I105)</f>
        <v>29050</v>
      </c>
      <c r="J106" s="168">
        <f t="shared" si="5"/>
        <v>0</v>
      </c>
      <c r="M106" s="7"/>
      <c r="N106" s="7"/>
      <c r="O106" s="7"/>
    </row>
    <row r="107" spans="1:148" ht="18" customHeight="1" x14ac:dyDescent="0.25">
      <c r="A107" s="14">
        <v>301</v>
      </c>
      <c r="B107" s="20" t="s">
        <v>92</v>
      </c>
      <c r="C107" s="22" t="s">
        <v>1045</v>
      </c>
      <c r="D107" s="108" t="s">
        <v>167</v>
      </c>
      <c r="E107" s="167">
        <v>624378</v>
      </c>
      <c r="F107" s="166"/>
      <c r="G107" s="167">
        <v>656300</v>
      </c>
      <c r="H107" s="167">
        <v>656300</v>
      </c>
      <c r="I107" s="167">
        <v>656300</v>
      </c>
      <c r="J107" s="167"/>
      <c r="M107" s="7"/>
      <c r="N107" s="7"/>
      <c r="O107" s="7"/>
    </row>
    <row r="108" spans="1:148" ht="18" customHeight="1" x14ac:dyDescent="0.25">
      <c r="A108" s="14">
        <v>301</v>
      </c>
      <c r="B108" s="20" t="s">
        <v>92</v>
      </c>
      <c r="C108" s="22" t="s">
        <v>1046</v>
      </c>
      <c r="D108" s="108" t="s">
        <v>168</v>
      </c>
      <c r="E108" s="167">
        <v>137000</v>
      </c>
      <c r="F108" s="166"/>
      <c r="G108" s="167">
        <v>140538</v>
      </c>
      <c r="H108" s="167">
        <v>140538</v>
      </c>
      <c r="I108" s="167">
        <v>140538</v>
      </c>
      <c r="J108" s="167"/>
      <c r="M108" s="7"/>
      <c r="N108" s="7"/>
      <c r="O108" s="7"/>
    </row>
    <row r="109" spans="1:148" ht="18" customHeight="1" x14ac:dyDescent="0.25">
      <c r="A109" s="14">
        <v>301</v>
      </c>
      <c r="B109" s="20" t="s">
        <v>92</v>
      </c>
      <c r="C109" s="22" t="s">
        <v>1047</v>
      </c>
      <c r="D109" s="108" t="s">
        <v>169</v>
      </c>
      <c r="E109" s="167">
        <v>215994</v>
      </c>
      <c r="F109" s="166"/>
      <c r="G109" s="167">
        <v>333111</v>
      </c>
      <c r="H109" s="167">
        <v>222074</v>
      </c>
      <c r="I109" s="167">
        <v>222074</v>
      </c>
      <c r="J109" s="167"/>
      <c r="M109" s="7"/>
      <c r="N109" s="7"/>
      <c r="O109" s="7"/>
    </row>
    <row r="110" spans="1:148" ht="18" customHeight="1" x14ac:dyDescent="0.25">
      <c r="A110" s="14">
        <v>301</v>
      </c>
      <c r="B110" s="20" t="s">
        <v>92</v>
      </c>
      <c r="C110" s="22" t="s">
        <v>1048</v>
      </c>
      <c r="D110" s="108" t="s">
        <v>170</v>
      </c>
      <c r="E110" s="167">
        <v>1141575</v>
      </c>
      <c r="F110" s="166"/>
      <c r="G110" s="167">
        <v>1175830</v>
      </c>
      <c r="H110" s="167">
        <v>1175830</v>
      </c>
      <c r="I110" s="167">
        <v>1175830</v>
      </c>
      <c r="J110" s="167"/>
      <c r="M110" s="7"/>
      <c r="N110" s="7"/>
      <c r="O110" s="7"/>
    </row>
    <row r="111" spans="1:148" ht="18" customHeight="1" x14ac:dyDescent="0.25">
      <c r="A111" s="14">
        <v>301</v>
      </c>
      <c r="B111" s="20" t="s">
        <v>92</v>
      </c>
      <c r="C111" s="22" t="s">
        <v>1049</v>
      </c>
      <c r="D111" s="108" t="s">
        <v>171</v>
      </c>
      <c r="E111" s="167">
        <v>2193237</v>
      </c>
      <c r="F111" s="166"/>
      <c r="G111" s="167">
        <v>2334866</v>
      </c>
      <c r="H111" s="171">
        <v>2200246</v>
      </c>
      <c r="I111" s="167">
        <v>2200246</v>
      </c>
      <c r="J111" s="167"/>
      <c r="M111" s="7"/>
      <c r="N111" s="7"/>
      <c r="O111" s="7"/>
    </row>
    <row r="112" spans="1:148" ht="18" customHeight="1" x14ac:dyDescent="0.25">
      <c r="A112" s="14">
        <v>301</v>
      </c>
      <c r="B112" s="20" t="s">
        <v>92</v>
      </c>
      <c r="C112" s="22" t="s">
        <v>1050</v>
      </c>
      <c r="D112" s="108" t="s">
        <v>172</v>
      </c>
      <c r="E112" s="167">
        <v>335000</v>
      </c>
      <c r="F112" s="166"/>
      <c r="G112" s="167">
        <v>335000</v>
      </c>
      <c r="H112" s="167">
        <v>335000</v>
      </c>
      <c r="I112" s="167">
        <v>335000</v>
      </c>
      <c r="J112" s="167"/>
      <c r="M112" s="7"/>
      <c r="N112" s="7"/>
      <c r="O112" s="7"/>
    </row>
    <row r="113" spans="1:148" ht="18" customHeight="1" x14ac:dyDescent="0.25">
      <c r="A113" s="14">
        <v>301</v>
      </c>
      <c r="B113" s="20" t="s">
        <v>92</v>
      </c>
      <c r="C113" s="22" t="s">
        <v>1051</v>
      </c>
      <c r="D113" s="108" t="s">
        <v>173</v>
      </c>
      <c r="E113" s="167">
        <v>2884</v>
      </c>
      <c r="F113" s="166"/>
      <c r="G113" s="167">
        <v>2884</v>
      </c>
      <c r="H113" s="167">
        <v>2884</v>
      </c>
      <c r="I113" s="167">
        <v>2884</v>
      </c>
      <c r="J113" s="167"/>
      <c r="M113" s="7"/>
      <c r="N113" s="7"/>
      <c r="O113" s="7"/>
    </row>
    <row r="114" spans="1:148" ht="18" customHeight="1" x14ac:dyDescent="0.25">
      <c r="A114" s="14">
        <v>301</v>
      </c>
      <c r="B114" s="20" t="s">
        <v>92</v>
      </c>
      <c r="C114" s="22" t="s">
        <v>1052</v>
      </c>
      <c r="D114" s="108" t="s">
        <v>174</v>
      </c>
      <c r="E114" s="167">
        <v>250000</v>
      </c>
      <c r="F114" s="166"/>
      <c r="G114" s="167">
        <v>250000</v>
      </c>
      <c r="H114" s="167">
        <v>250000</v>
      </c>
      <c r="I114" s="167">
        <v>250000</v>
      </c>
      <c r="J114" s="167"/>
      <c r="M114" s="7"/>
      <c r="N114" s="7"/>
      <c r="O114" s="7"/>
    </row>
    <row r="115" spans="1:148" ht="18" customHeight="1" x14ac:dyDescent="0.25">
      <c r="A115" s="14">
        <v>301</v>
      </c>
      <c r="B115" s="20" t="s">
        <v>92</v>
      </c>
      <c r="C115" s="22" t="s">
        <v>1055</v>
      </c>
      <c r="D115" s="108" t="s">
        <v>175</v>
      </c>
      <c r="E115" s="167">
        <v>2000</v>
      </c>
      <c r="F115" s="166"/>
      <c r="G115" s="167">
        <v>0</v>
      </c>
      <c r="H115" s="167">
        <v>0</v>
      </c>
      <c r="I115" s="167">
        <v>0</v>
      </c>
      <c r="J115" s="167"/>
      <c r="M115" s="7"/>
      <c r="N115" s="7"/>
      <c r="O115" s="7"/>
    </row>
    <row r="116" spans="1:148" ht="18" customHeight="1" x14ac:dyDescent="0.25">
      <c r="A116" s="14">
        <v>301</v>
      </c>
      <c r="B116" s="20" t="s">
        <v>92</v>
      </c>
      <c r="C116" s="22" t="s">
        <v>1056</v>
      </c>
      <c r="D116" s="108" t="s">
        <v>176</v>
      </c>
      <c r="E116" s="167">
        <v>11000</v>
      </c>
      <c r="F116" s="166"/>
      <c r="G116" s="167">
        <v>16000</v>
      </c>
      <c r="H116" s="167">
        <v>16000</v>
      </c>
      <c r="I116" s="167">
        <v>16000</v>
      </c>
      <c r="J116" s="167"/>
      <c r="M116" s="7"/>
      <c r="N116" s="7"/>
      <c r="O116" s="7"/>
    </row>
    <row r="117" spans="1:148" ht="18" customHeight="1" x14ac:dyDescent="0.25">
      <c r="A117" s="14">
        <v>301</v>
      </c>
      <c r="B117" s="20" t="s">
        <v>92</v>
      </c>
      <c r="C117" s="22" t="s">
        <v>1057</v>
      </c>
      <c r="D117" s="108" t="s">
        <v>177</v>
      </c>
      <c r="E117" s="167">
        <v>31400</v>
      </c>
      <c r="F117" s="166"/>
      <c r="G117" s="167">
        <v>31150</v>
      </c>
      <c r="H117" s="167">
        <v>31150</v>
      </c>
      <c r="I117" s="167">
        <v>31150</v>
      </c>
      <c r="J117" s="167"/>
      <c r="M117" s="7"/>
      <c r="N117" s="7"/>
      <c r="O117" s="7"/>
    </row>
    <row r="118" spans="1:148" ht="18" customHeight="1" x14ac:dyDescent="0.25">
      <c r="A118" s="14">
        <v>301</v>
      </c>
      <c r="B118" s="20" t="s">
        <v>92</v>
      </c>
      <c r="C118" s="22" t="s">
        <v>1058</v>
      </c>
      <c r="D118" s="108" t="s">
        <v>178</v>
      </c>
      <c r="E118" s="167">
        <v>54550</v>
      </c>
      <c r="F118" s="166"/>
      <c r="G118" s="167">
        <v>53700</v>
      </c>
      <c r="H118" s="167">
        <v>53700</v>
      </c>
      <c r="I118" s="167">
        <v>53700</v>
      </c>
      <c r="J118" s="167"/>
      <c r="M118" s="7"/>
      <c r="N118" s="7"/>
      <c r="O118" s="7"/>
    </row>
    <row r="119" spans="1:148" ht="18" customHeight="1" x14ac:dyDescent="0.25">
      <c r="A119" s="14">
        <v>301</v>
      </c>
      <c r="B119" s="20" t="s">
        <v>92</v>
      </c>
      <c r="C119" s="22" t="s">
        <v>1060</v>
      </c>
      <c r="D119" s="108" t="s">
        <v>179</v>
      </c>
      <c r="E119" s="167">
        <v>1000</v>
      </c>
      <c r="F119" s="166"/>
      <c r="G119" s="167">
        <v>1000</v>
      </c>
      <c r="H119" s="167">
        <v>1000</v>
      </c>
      <c r="I119" s="167">
        <v>1000</v>
      </c>
      <c r="J119" s="167"/>
      <c r="M119" s="7"/>
      <c r="N119" s="7"/>
      <c r="O119" s="7"/>
    </row>
    <row r="120" spans="1:148" ht="18" customHeight="1" x14ac:dyDescent="0.25">
      <c r="A120" s="14">
        <v>301</v>
      </c>
      <c r="B120" s="20" t="s">
        <v>92</v>
      </c>
      <c r="C120" s="22" t="s">
        <v>1061</v>
      </c>
      <c r="D120" s="108" t="s">
        <v>180</v>
      </c>
      <c r="E120" s="167">
        <v>5000</v>
      </c>
      <c r="F120" s="166"/>
      <c r="G120" s="167">
        <v>5000</v>
      </c>
      <c r="H120" s="167">
        <v>5000</v>
      </c>
      <c r="I120" s="167">
        <v>5000</v>
      </c>
      <c r="J120" s="167"/>
      <c r="M120" s="7"/>
      <c r="N120" s="7"/>
      <c r="O120" s="7"/>
    </row>
    <row r="121" spans="1:148" ht="18" customHeight="1" x14ac:dyDescent="0.25">
      <c r="A121" s="14">
        <v>301</v>
      </c>
      <c r="B121" s="20" t="s">
        <v>92</v>
      </c>
      <c r="C121" s="22" t="s">
        <v>1062</v>
      </c>
      <c r="D121" s="108" t="s">
        <v>181</v>
      </c>
      <c r="E121" s="167">
        <v>2000</v>
      </c>
      <c r="F121" s="166"/>
      <c r="G121" s="167">
        <v>10250</v>
      </c>
      <c r="H121" s="167">
        <v>10250</v>
      </c>
      <c r="I121" s="167">
        <v>10250</v>
      </c>
      <c r="J121" s="167"/>
      <c r="M121" s="7"/>
      <c r="N121" s="7"/>
      <c r="O121" s="7"/>
    </row>
    <row r="122" spans="1:148" ht="18" customHeight="1" x14ac:dyDescent="0.25">
      <c r="A122" s="14">
        <v>301</v>
      </c>
      <c r="B122" s="20" t="s">
        <v>92</v>
      </c>
      <c r="C122" s="22" t="s">
        <v>1063</v>
      </c>
      <c r="D122" s="108" t="s">
        <v>182</v>
      </c>
      <c r="E122" s="167">
        <v>95615</v>
      </c>
      <c r="F122" s="166"/>
      <c r="G122" s="167">
        <v>153540</v>
      </c>
      <c r="H122" s="171">
        <v>148540</v>
      </c>
      <c r="I122" s="167">
        <v>148540</v>
      </c>
      <c r="J122" s="167"/>
      <c r="M122" s="7"/>
      <c r="N122" s="7"/>
      <c r="O122" s="7"/>
    </row>
    <row r="123" spans="1:148" s="10" customFormat="1" ht="18" customHeight="1" x14ac:dyDescent="0.25">
      <c r="A123" s="14">
        <v>301</v>
      </c>
      <c r="B123" s="20" t="s">
        <v>92</v>
      </c>
      <c r="C123" s="22" t="s">
        <v>1064</v>
      </c>
      <c r="D123" s="108" t="s">
        <v>183</v>
      </c>
      <c r="E123" s="167">
        <v>4000</v>
      </c>
      <c r="F123" s="166"/>
      <c r="G123" s="167">
        <v>4000</v>
      </c>
      <c r="H123" s="167">
        <v>4000</v>
      </c>
      <c r="I123" s="167">
        <v>4000</v>
      </c>
      <c r="J123" s="167"/>
      <c r="K123" s="217"/>
      <c r="L123" s="8"/>
      <c r="M123" s="7"/>
      <c r="N123" s="7"/>
      <c r="O123" s="7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</row>
    <row r="124" spans="1:148" ht="18" customHeight="1" x14ac:dyDescent="0.25">
      <c r="A124" s="14">
        <v>301</v>
      </c>
      <c r="B124" s="20" t="s">
        <v>92</v>
      </c>
      <c r="C124" s="22" t="s">
        <v>1065</v>
      </c>
      <c r="D124" s="108" t="s">
        <v>184</v>
      </c>
      <c r="E124" s="167">
        <v>2000</v>
      </c>
      <c r="F124" s="166"/>
      <c r="G124" s="167">
        <v>2000</v>
      </c>
      <c r="H124" s="167">
        <v>2000</v>
      </c>
      <c r="I124" s="167">
        <v>2000</v>
      </c>
      <c r="J124" s="167"/>
      <c r="M124" s="7"/>
      <c r="N124" s="7"/>
      <c r="O124" s="7"/>
    </row>
    <row r="125" spans="1:148" ht="18" customHeight="1" x14ac:dyDescent="0.25">
      <c r="A125" s="14">
        <v>301</v>
      </c>
      <c r="B125" s="20" t="s">
        <v>92</v>
      </c>
      <c r="C125" s="22" t="s">
        <v>1066</v>
      </c>
      <c r="D125" s="108" t="s">
        <v>185</v>
      </c>
      <c r="E125" s="167">
        <v>35000</v>
      </c>
      <c r="F125" s="166"/>
      <c r="G125" s="167">
        <v>45000</v>
      </c>
      <c r="H125" s="167">
        <v>35000</v>
      </c>
      <c r="I125" s="167">
        <v>35000</v>
      </c>
      <c r="J125" s="167"/>
      <c r="M125" s="7"/>
      <c r="N125" s="7"/>
      <c r="O125" s="7"/>
    </row>
    <row r="126" spans="1:148" ht="18" customHeight="1" x14ac:dyDescent="0.25">
      <c r="A126" s="14">
        <v>301</v>
      </c>
      <c r="B126" s="20" t="s">
        <v>92</v>
      </c>
      <c r="C126" s="22" t="s">
        <v>1067</v>
      </c>
      <c r="D126" s="108" t="s">
        <v>186</v>
      </c>
      <c r="E126" s="167">
        <v>2500</v>
      </c>
      <c r="F126" s="166"/>
      <c r="G126" s="167">
        <v>2500</v>
      </c>
      <c r="H126" s="167">
        <v>2500</v>
      </c>
      <c r="I126" s="167">
        <v>2500</v>
      </c>
      <c r="J126" s="167"/>
      <c r="M126" s="7"/>
      <c r="N126" s="7"/>
      <c r="O126" s="7"/>
    </row>
    <row r="127" spans="1:148" ht="18" customHeight="1" x14ac:dyDescent="0.25">
      <c r="A127" s="14">
        <v>301</v>
      </c>
      <c r="B127" s="20" t="s">
        <v>92</v>
      </c>
      <c r="C127" s="22" t="s">
        <v>1068</v>
      </c>
      <c r="D127" s="108" t="s">
        <v>187</v>
      </c>
      <c r="E127" s="167">
        <v>7500</v>
      </c>
      <c r="F127" s="166"/>
      <c r="G127" s="167">
        <v>10000</v>
      </c>
      <c r="H127" s="167">
        <v>7500</v>
      </c>
      <c r="I127" s="167">
        <v>7500</v>
      </c>
      <c r="J127" s="167"/>
      <c r="M127" s="7"/>
      <c r="N127" s="7"/>
      <c r="O127" s="7"/>
    </row>
    <row r="128" spans="1:148" ht="18" customHeight="1" x14ac:dyDescent="0.25">
      <c r="A128" s="14">
        <v>301</v>
      </c>
      <c r="B128" s="20" t="s">
        <v>92</v>
      </c>
      <c r="C128" s="22" t="s">
        <v>1069</v>
      </c>
      <c r="D128" s="108" t="s">
        <v>188</v>
      </c>
      <c r="E128" s="167">
        <v>1500</v>
      </c>
      <c r="F128" s="166"/>
      <c r="G128" s="167">
        <v>10000</v>
      </c>
      <c r="H128" s="167">
        <v>9000</v>
      </c>
      <c r="I128" s="167">
        <v>9000</v>
      </c>
      <c r="J128" s="167"/>
      <c r="M128" s="7"/>
      <c r="N128" s="7"/>
      <c r="O128" s="7"/>
    </row>
    <row r="129" spans="1:148" s="10" customFormat="1" ht="18" customHeight="1" x14ac:dyDescent="0.25">
      <c r="A129" s="14">
        <v>301</v>
      </c>
      <c r="B129" s="20" t="s">
        <v>92</v>
      </c>
      <c r="C129" s="22" t="s">
        <v>1070</v>
      </c>
      <c r="D129" s="108" t="s">
        <v>189</v>
      </c>
      <c r="E129" s="167">
        <v>5000</v>
      </c>
      <c r="F129" s="166"/>
      <c r="G129" s="167">
        <v>5000</v>
      </c>
      <c r="H129" s="167">
        <v>5000</v>
      </c>
      <c r="I129" s="167">
        <v>5000</v>
      </c>
      <c r="J129" s="167"/>
      <c r="K129" s="217"/>
      <c r="L129" s="8"/>
      <c r="M129" s="7"/>
      <c r="N129" s="7"/>
      <c r="O129" s="7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</row>
    <row r="130" spans="1:148" ht="18" customHeight="1" x14ac:dyDescent="0.25">
      <c r="A130" s="14">
        <v>301</v>
      </c>
      <c r="B130" s="20" t="s">
        <v>92</v>
      </c>
      <c r="C130" s="22" t="s">
        <v>1071</v>
      </c>
      <c r="D130" s="108" t="s">
        <v>190</v>
      </c>
      <c r="E130" s="167">
        <v>5000</v>
      </c>
      <c r="F130" s="166"/>
      <c r="G130" s="167">
        <v>10000</v>
      </c>
      <c r="H130" s="167">
        <v>5000</v>
      </c>
      <c r="I130" s="167">
        <v>5000</v>
      </c>
      <c r="J130" s="167"/>
      <c r="M130" s="7"/>
      <c r="N130" s="7"/>
      <c r="O130" s="7"/>
    </row>
    <row r="131" spans="1:148" ht="18" customHeight="1" x14ac:dyDescent="0.25">
      <c r="A131" s="14">
        <v>301</v>
      </c>
      <c r="B131" s="20" t="s">
        <v>92</v>
      </c>
      <c r="C131" s="22" t="s">
        <v>1072</v>
      </c>
      <c r="D131" s="108" t="s">
        <v>191</v>
      </c>
      <c r="E131" s="167">
        <v>2600</v>
      </c>
      <c r="F131" s="166"/>
      <c r="G131" s="167">
        <v>2600</v>
      </c>
      <c r="H131" s="167">
        <v>2600</v>
      </c>
      <c r="I131" s="167">
        <v>2600</v>
      </c>
      <c r="J131" s="167"/>
      <c r="M131" s="7"/>
      <c r="N131" s="7"/>
      <c r="O131" s="7"/>
    </row>
    <row r="132" spans="1:148" ht="18" customHeight="1" x14ac:dyDescent="0.25">
      <c r="A132" s="14">
        <v>301</v>
      </c>
      <c r="B132" s="20" t="s">
        <v>92</v>
      </c>
      <c r="C132" s="22" t="s">
        <v>1073</v>
      </c>
      <c r="D132" s="108" t="s">
        <v>192</v>
      </c>
      <c r="E132" s="167">
        <v>1000</v>
      </c>
      <c r="F132" s="166"/>
      <c r="G132" s="167">
        <v>1000</v>
      </c>
      <c r="H132" s="167">
        <v>1000</v>
      </c>
      <c r="I132" s="167">
        <v>1000</v>
      </c>
      <c r="J132" s="167"/>
      <c r="M132" s="7"/>
      <c r="N132" s="7"/>
      <c r="O132" s="7"/>
    </row>
    <row r="133" spans="1:148" ht="18" customHeight="1" x14ac:dyDescent="0.25">
      <c r="A133" s="14">
        <v>301</v>
      </c>
      <c r="B133" s="20" t="s">
        <v>92</v>
      </c>
      <c r="C133" s="22" t="s">
        <v>1074</v>
      </c>
      <c r="D133" s="108" t="s">
        <v>193</v>
      </c>
      <c r="E133" s="167">
        <v>3500</v>
      </c>
      <c r="F133" s="166"/>
      <c r="G133" s="167">
        <v>5000</v>
      </c>
      <c r="H133" s="167">
        <v>5000</v>
      </c>
      <c r="I133" s="167">
        <v>5000</v>
      </c>
      <c r="J133" s="167"/>
      <c r="M133" s="7"/>
      <c r="N133" s="7"/>
      <c r="O133" s="7"/>
    </row>
    <row r="134" spans="1:148" ht="18" customHeight="1" x14ac:dyDescent="0.25">
      <c r="A134" s="14">
        <v>301</v>
      </c>
      <c r="B134" s="20" t="s">
        <v>92</v>
      </c>
      <c r="C134" s="22" t="s">
        <v>1075</v>
      </c>
      <c r="D134" s="108" t="s">
        <v>194</v>
      </c>
      <c r="E134" s="167">
        <v>1250</v>
      </c>
      <c r="F134" s="166"/>
      <c r="G134" s="167">
        <v>2000</v>
      </c>
      <c r="H134" s="167">
        <v>2000</v>
      </c>
      <c r="I134" s="167">
        <v>2000</v>
      </c>
      <c r="J134" s="167"/>
      <c r="M134" s="7"/>
      <c r="N134" s="7"/>
      <c r="O134" s="7"/>
    </row>
    <row r="135" spans="1:148" ht="18" customHeight="1" x14ac:dyDescent="0.25">
      <c r="A135" s="14">
        <v>301</v>
      </c>
      <c r="B135" s="20" t="s">
        <v>92</v>
      </c>
      <c r="C135" s="22" t="s">
        <v>1076</v>
      </c>
      <c r="D135" s="108" t="s">
        <v>195</v>
      </c>
      <c r="E135" s="167">
        <v>10000</v>
      </c>
      <c r="F135" s="166"/>
      <c r="G135" s="167">
        <v>12000</v>
      </c>
      <c r="H135" s="167">
        <v>10000</v>
      </c>
      <c r="I135" s="167">
        <v>10000</v>
      </c>
      <c r="J135" s="167"/>
      <c r="M135" s="7"/>
      <c r="N135" s="7"/>
      <c r="O135" s="7"/>
    </row>
    <row r="136" spans="1:148" ht="18" customHeight="1" x14ac:dyDescent="0.25">
      <c r="A136" s="14">
        <v>301</v>
      </c>
      <c r="B136" s="20" t="s">
        <v>92</v>
      </c>
      <c r="C136" s="22" t="s">
        <v>1077</v>
      </c>
      <c r="D136" s="108" t="s">
        <v>196</v>
      </c>
      <c r="E136" s="167">
        <v>5500</v>
      </c>
      <c r="F136" s="166"/>
      <c r="G136" s="167">
        <v>5500</v>
      </c>
      <c r="H136" s="167">
        <v>5500</v>
      </c>
      <c r="I136" s="167">
        <v>5500</v>
      </c>
      <c r="J136" s="167"/>
      <c r="M136" s="7"/>
      <c r="N136" s="7"/>
      <c r="O136" s="7"/>
    </row>
    <row r="137" spans="1:148" ht="18" customHeight="1" x14ac:dyDescent="0.25">
      <c r="A137" s="14">
        <v>301</v>
      </c>
      <c r="B137" s="20" t="s">
        <v>92</v>
      </c>
      <c r="C137" s="22" t="s">
        <v>1078</v>
      </c>
      <c r="D137" s="108" t="s">
        <v>197</v>
      </c>
      <c r="E137" s="167">
        <v>30000</v>
      </c>
      <c r="F137" s="166"/>
      <c r="G137" s="167">
        <v>35000</v>
      </c>
      <c r="H137" s="167">
        <v>30000</v>
      </c>
      <c r="I137" s="167">
        <v>30000</v>
      </c>
      <c r="J137" s="167"/>
      <c r="M137" s="7"/>
      <c r="N137" s="7"/>
      <c r="O137" s="7"/>
    </row>
    <row r="138" spans="1:148" ht="18" customHeight="1" x14ac:dyDescent="0.25">
      <c r="A138" s="14">
        <v>301</v>
      </c>
      <c r="B138" s="20" t="s">
        <v>92</v>
      </c>
      <c r="C138" s="22" t="s">
        <v>1079</v>
      </c>
      <c r="D138" s="108" t="s">
        <v>198</v>
      </c>
      <c r="E138" s="167">
        <v>5000</v>
      </c>
      <c r="F138" s="166"/>
      <c r="G138" s="167">
        <v>5000</v>
      </c>
      <c r="H138" s="167">
        <v>5000</v>
      </c>
      <c r="I138" s="167">
        <v>5000</v>
      </c>
      <c r="J138" s="167"/>
      <c r="M138" s="7"/>
      <c r="N138" s="7"/>
      <c r="O138" s="7"/>
    </row>
    <row r="139" spans="1:148" ht="18" customHeight="1" x14ac:dyDescent="0.25">
      <c r="A139" s="14">
        <v>301</v>
      </c>
      <c r="B139" s="20" t="s">
        <v>92</v>
      </c>
      <c r="C139" s="22" t="s">
        <v>1080</v>
      </c>
      <c r="D139" s="108" t="s">
        <v>199</v>
      </c>
      <c r="E139" s="167">
        <v>20000</v>
      </c>
      <c r="F139" s="166"/>
      <c r="G139" s="167">
        <v>20000</v>
      </c>
      <c r="H139" s="167">
        <v>20000</v>
      </c>
      <c r="I139" s="167">
        <v>20000</v>
      </c>
      <c r="J139" s="167"/>
      <c r="M139" s="7"/>
      <c r="N139" s="7"/>
      <c r="O139" s="7"/>
    </row>
    <row r="140" spans="1:148" ht="18" customHeight="1" x14ac:dyDescent="0.25">
      <c r="A140" s="14">
        <v>301</v>
      </c>
      <c r="B140" s="20" t="s">
        <v>92</v>
      </c>
      <c r="C140" s="22" t="s">
        <v>1081</v>
      </c>
      <c r="D140" s="108" t="s">
        <v>200</v>
      </c>
      <c r="E140" s="167">
        <v>8000</v>
      </c>
      <c r="F140" s="166"/>
      <c r="G140" s="167">
        <v>10000</v>
      </c>
      <c r="H140" s="167">
        <v>8000</v>
      </c>
      <c r="I140" s="167">
        <v>8000</v>
      </c>
      <c r="J140" s="167"/>
      <c r="M140" s="7"/>
      <c r="N140" s="7"/>
      <c r="O140" s="7"/>
    </row>
    <row r="141" spans="1:148" ht="18" customHeight="1" x14ac:dyDescent="0.25">
      <c r="A141" s="14">
        <v>301</v>
      </c>
      <c r="B141" s="20" t="s">
        <v>92</v>
      </c>
      <c r="C141" s="22" t="s">
        <v>1082</v>
      </c>
      <c r="D141" s="108" t="s">
        <v>201</v>
      </c>
      <c r="E141" s="167">
        <v>4000</v>
      </c>
      <c r="F141" s="166"/>
      <c r="G141" s="167">
        <v>4000</v>
      </c>
      <c r="H141" s="167">
        <v>4000</v>
      </c>
      <c r="I141" s="167">
        <v>4000</v>
      </c>
      <c r="J141" s="167"/>
      <c r="M141" s="7"/>
      <c r="N141" s="7"/>
      <c r="O141" s="7"/>
    </row>
    <row r="142" spans="1:148" ht="18" customHeight="1" x14ac:dyDescent="0.25">
      <c r="A142" s="14">
        <v>301</v>
      </c>
      <c r="B142" s="20" t="s">
        <v>92</v>
      </c>
      <c r="C142" s="22" t="s">
        <v>1083</v>
      </c>
      <c r="D142" s="108" t="s">
        <v>202</v>
      </c>
      <c r="E142" s="167">
        <v>500</v>
      </c>
      <c r="F142" s="166"/>
      <c r="G142" s="167">
        <v>600</v>
      </c>
      <c r="H142" s="167">
        <v>600</v>
      </c>
      <c r="I142" s="167">
        <v>600</v>
      </c>
      <c r="J142" s="167"/>
      <c r="M142" s="7"/>
      <c r="N142" s="7"/>
      <c r="O142" s="7"/>
    </row>
    <row r="143" spans="1:148" ht="18" customHeight="1" x14ac:dyDescent="0.25">
      <c r="A143" s="14">
        <v>301</v>
      </c>
      <c r="B143" s="20" t="s">
        <v>92</v>
      </c>
      <c r="C143" s="22" t="s">
        <v>1084</v>
      </c>
      <c r="D143" s="108" t="s">
        <v>203</v>
      </c>
      <c r="E143" s="167">
        <v>3000</v>
      </c>
      <c r="F143" s="166"/>
      <c r="G143" s="167">
        <v>3000</v>
      </c>
      <c r="H143" s="167">
        <v>3000</v>
      </c>
      <c r="I143" s="167">
        <v>3000</v>
      </c>
      <c r="J143" s="167"/>
      <c r="M143" s="7"/>
      <c r="N143" s="7"/>
      <c r="O143" s="7"/>
    </row>
    <row r="144" spans="1:148" ht="18" customHeight="1" x14ac:dyDescent="0.25">
      <c r="A144" s="17" t="s">
        <v>80</v>
      </c>
      <c r="B144" s="21" t="s">
        <v>31</v>
      </c>
      <c r="C144" s="19" t="s">
        <v>31</v>
      </c>
      <c r="D144" s="21" t="s">
        <v>31</v>
      </c>
      <c r="E144" s="168">
        <f>SUM(E107:E143)</f>
        <v>5259483</v>
      </c>
      <c r="F144" s="166"/>
      <c r="G144" s="168">
        <f>SUM(G107:G143)</f>
        <v>5693369</v>
      </c>
      <c r="H144" s="168">
        <f>SUM(H107:H143)</f>
        <v>5415212</v>
      </c>
      <c r="I144" s="168">
        <f>SUM(I107:I143)</f>
        <v>5415212</v>
      </c>
      <c r="J144" s="168">
        <f>SUM(J107:J143)</f>
        <v>0</v>
      </c>
      <c r="M144" s="7"/>
      <c r="N144" s="7"/>
      <c r="O144" s="7"/>
    </row>
    <row r="145" spans="1:15" ht="18" customHeight="1" x14ac:dyDescent="0.25">
      <c r="A145" s="14">
        <v>302</v>
      </c>
      <c r="B145" s="20" t="s">
        <v>93</v>
      </c>
      <c r="C145" s="22" t="s">
        <v>1211</v>
      </c>
      <c r="D145" s="108" t="s">
        <v>204</v>
      </c>
      <c r="E145" s="167">
        <v>93981</v>
      </c>
      <c r="F145" s="166"/>
      <c r="G145" s="167">
        <v>97314</v>
      </c>
      <c r="H145" s="167">
        <v>97314</v>
      </c>
      <c r="I145" s="167">
        <v>97314</v>
      </c>
      <c r="J145" s="167"/>
      <c r="M145" s="7"/>
      <c r="N145" s="7"/>
      <c r="O145" s="7"/>
    </row>
    <row r="146" spans="1:15" ht="18" customHeight="1" x14ac:dyDescent="0.25">
      <c r="A146" s="14">
        <v>302</v>
      </c>
      <c r="B146" s="20" t="s">
        <v>93</v>
      </c>
      <c r="C146" s="22" t="s">
        <v>1212</v>
      </c>
      <c r="D146" s="108" t="s">
        <v>205</v>
      </c>
      <c r="E146" s="167">
        <v>500</v>
      </c>
      <c r="F146" s="166"/>
      <c r="G146" s="167">
        <v>500</v>
      </c>
      <c r="H146" s="167">
        <v>500</v>
      </c>
      <c r="I146" s="167">
        <v>500</v>
      </c>
      <c r="J146" s="167"/>
      <c r="M146" s="7"/>
      <c r="N146" s="7"/>
      <c r="O146" s="7"/>
    </row>
    <row r="147" spans="1:15" ht="18" customHeight="1" x14ac:dyDescent="0.25">
      <c r="A147" s="14">
        <v>302</v>
      </c>
      <c r="B147" s="20" t="s">
        <v>93</v>
      </c>
      <c r="C147" s="22" t="s">
        <v>1213</v>
      </c>
      <c r="D147" s="108" t="s">
        <v>139</v>
      </c>
      <c r="E147" s="167">
        <v>1900</v>
      </c>
      <c r="F147" s="166"/>
      <c r="G147" s="167">
        <v>1900</v>
      </c>
      <c r="H147" s="167">
        <v>1900</v>
      </c>
      <c r="I147" s="167">
        <v>1900</v>
      </c>
      <c r="J147" s="167"/>
      <c r="M147" s="7"/>
      <c r="N147" s="7"/>
      <c r="O147" s="7"/>
    </row>
    <row r="148" spans="1:15" ht="18" customHeight="1" x14ac:dyDescent="0.25">
      <c r="A148" s="14">
        <v>302</v>
      </c>
      <c r="B148" s="20" t="s">
        <v>93</v>
      </c>
      <c r="C148" s="22" t="s">
        <v>1214</v>
      </c>
      <c r="D148" s="108" t="s">
        <v>206</v>
      </c>
      <c r="E148" s="167">
        <v>2500</v>
      </c>
      <c r="F148" s="166"/>
      <c r="G148" s="167">
        <v>8740</v>
      </c>
      <c r="H148" s="167">
        <v>2500</v>
      </c>
      <c r="I148" s="167">
        <v>2500</v>
      </c>
      <c r="J148" s="167"/>
      <c r="M148" s="7"/>
      <c r="N148" s="7"/>
      <c r="O148" s="7"/>
    </row>
    <row r="149" spans="1:15" ht="18" customHeight="1" x14ac:dyDescent="0.25">
      <c r="A149" s="14">
        <v>302</v>
      </c>
      <c r="B149" s="20" t="s">
        <v>93</v>
      </c>
      <c r="C149" s="22" t="s">
        <v>1209</v>
      </c>
      <c r="D149" s="108" t="s">
        <v>207</v>
      </c>
      <c r="E149" s="167">
        <v>1200</v>
      </c>
      <c r="F149" s="166"/>
      <c r="G149" s="167">
        <v>8840</v>
      </c>
      <c r="H149" s="171">
        <v>8840</v>
      </c>
      <c r="I149" s="167">
        <v>8840</v>
      </c>
      <c r="J149" s="167"/>
      <c r="M149" s="7"/>
      <c r="N149" s="7"/>
      <c r="O149" s="7"/>
    </row>
    <row r="150" spans="1:15" ht="18" customHeight="1" x14ac:dyDescent="0.25">
      <c r="A150" s="14">
        <v>302</v>
      </c>
      <c r="B150" s="20" t="s">
        <v>93</v>
      </c>
      <c r="C150" s="22" t="s">
        <v>1210</v>
      </c>
      <c r="D150" s="108" t="s">
        <v>208</v>
      </c>
      <c r="E150" s="167">
        <v>1000</v>
      </c>
      <c r="F150" s="166"/>
      <c r="G150" s="167">
        <v>2500</v>
      </c>
      <c r="H150" s="167">
        <v>2500</v>
      </c>
      <c r="I150" s="167">
        <v>2500</v>
      </c>
      <c r="J150" s="167"/>
      <c r="M150" s="7"/>
      <c r="N150" s="7"/>
      <c r="O150" s="7"/>
    </row>
    <row r="151" spans="1:15" ht="18" customHeight="1" x14ac:dyDescent="0.25">
      <c r="A151" s="17" t="s">
        <v>81</v>
      </c>
      <c r="B151" s="21" t="s">
        <v>31</v>
      </c>
      <c r="C151" s="19" t="s">
        <v>31</v>
      </c>
      <c r="D151" s="21" t="s">
        <v>31</v>
      </c>
      <c r="E151" s="168">
        <f>SUM(E145:E150)</f>
        <v>101081</v>
      </c>
      <c r="F151" s="166"/>
      <c r="G151" s="168">
        <f>SUM(G145:G150)</f>
        <v>119794</v>
      </c>
      <c r="H151" s="168">
        <f>SUM(H145:H150)</f>
        <v>113554</v>
      </c>
      <c r="I151" s="168">
        <f>SUM(I145:I150)</f>
        <v>113554</v>
      </c>
      <c r="J151" s="168">
        <f>SUM(J145:J150)</f>
        <v>0</v>
      </c>
      <c r="M151" s="7"/>
      <c r="N151" s="7"/>
      <c r="O151" s="7"/>
    </row>
    <row r="152" spans="1:15" ht="18" customHeight="1" x14ac:dyDescent="0.25">
      <c r="A152" s="14">
        <v>400</v>
      </c>
      <c r="B152" s="20" t="s">
        <v>94</v>
      </c>
      <c r="C152" s="22" t="s">
        <v>1132</v>
      </c>
      <c r="D152" s="108" t="s">
        <v>209</v>
      </c>
      <c r="E152" s="167">
        <v>68583</v>
      </c>
      <c r="F152" s="166"/>
      <c r="G152" s="167">
        <v>68583</v>
      </c>
      <c r="H152" s="167">
        <v>68583</v>
      </c>
      <c r="I152" s="167">
        <v>68583</v>
      </c>
      <c r="J152" s="167"/>
      <c r="M152" s="7"/>
      <c r="N152" s="7"/>
      <c r="O152" s="7"/>
    </row>
    <row r="153" spans="1:15" ht="18" customHeight="1" x14ac:dyDescent="0.25">
      <c r="A153" s="14">
        <v>400</v>
      </c>
      <c r="B153" s="20" t="s">
        <v>94</v>
      </c>
      <c r="C153" s="22" t="s">
        <v>1133</v>
      </c>
      <c r="D153" s="108" t="s">
        <v>210</v>
      </c>
      <c r="E153" s="167">
        <v>2500</v>
      </c>
      <c r="F153" s="166"/>
      <c r="G153" s="167">
        <v>2500</v>
      </c>
      <c r="H153" s="167">
        <v>2500</v>
      </c>
      <c r="I153" s="167">
        <v>2500</v>
      </c>
      <c r="J153" s="167"/>
      <c r="M153" s="7"/>
      <c r="N153" s="7"/>
      <c r="O153" s="7"/>
    </row>
    <row r="154" spans="1:15" ht="18" customHeight="1" x14ac:dyDescent="0.25">
      <c r="A154" s="14">
        <v>400</v>
      </c>
      <c r="B154" s="20" t="s">
        <v>94</v>
      </c>
      <c r="C154" s="22" t="s">
        <v>1134</v>
      </c>
      <c r="D154" s="108" t="s">
        <v>211</v>
      </c>
      <c r="E154" s="167">
        <v>2166</v>
      </c>
      <c r="F154" s="166"/>
      <c r="G154" s="167">
        <v>2376</v>
      </c>
      <c r="H154" s="167">
        <v>2376</v>
      </c>
      <c r="I154" s="167">
        <v>2376</v>
      </c>
      <c r="J154" s="167"/>
      <c r="M154" s="7"/>
      <c r="N154" s="7"/>
      <c r="O154" s="7"/>
    </row>
    <row r="155" spans="1:15" ht="18" customHeight="1" x14ac:dyDescent="0.25">
      <c r="A155" s="14">
        <v>400</v>
      </c>
      <c r="B155" s="20" t="s">
        <v>94</v>
      </c>
      <c r="C155" s="22" t="s">
        <v>1135</v>
      </c>
      <c r="D155" s="108" t="s">
        <v>212</v>
      </c>
      <c r="E155" s="167">
        <v>450</v>
      </c>
      <c r="F155" s="166"/>
      <c r="G155" s="167">
        <v>500</v>
      </c>
      <c r="H155" s="167">
        <v>500</v>
      </c>
      <c r="I155" s="167">
        <v>500</v>
      </c>
      <c r="J155" s="167"/>
      <c r="M155" s="7"/>
      <c r="N155" s="7"/>
      <c r="O155" s="7"/>
    </row>
    <row r="156" spans="1:15" ht="18" customHeight="1" x14ac:dyDescent="0.25">
      <c r="A156" s="14">
        <v>400</v>
      </c>
      <c r="B156" s="20" t="s">
        <v>94</v>
      </c>
      <c r="C156" s="22" t="s">
        <v>1136</v>
      </c>
      <c r="D156" s="108" t="s">
        <v>213</v>
      </c>
      <c r="E156" s="167">
        <v>1025</v>
      </c>
      <c r="F156" s="166"/>
      <c r="G156" s="167">
        <v>1500</v>
      </c>
      <c r="H156" s="167">
        <v>1500</v>
      </c>
      <c r="I156" s="167">
        <v>1500</v>
      </c>
      <c r="J156" s="167"/>
      <c r="M156" s="7"/>
      <c r="N156" s="7"/>
      <c r="O156" s="7"/>
    </row>
    <row r="157" spans="1:15" ht="18" customHeight="1" x14ac:dyDescent="0.25">
      <c r="A157" s="14">
        <v>400</v>
      </c>
      <c r="B157" s="20" t="s">
        <v>94</v>
      </c>
      <c r="C157" s="22" t="s">
        <v>1137</v>
      </c>
      <c r="D157" s="108" t="s">
        <v>214</v>
      </c>
      <c r="E157" s="167">
        <v>1576</v>
      </c>
      <c r="F157" s="166"/>
      <c r="G157" s="167">
        <v>1590</v>
      </c>
      <c r="H157" s="167">
        <v>1590</v>
      </c>
      <c r="I157" s="167">
        <v>1590</v>
      </c>
      <c r="J157" s="167"/>
      <c r="M157" s="7"/>
      <c r="N157" s="7"/>
      <c r="O157" s="7"/>
    </row>
    <row r="158" spans="1:15" ht="18" customHeight="1" x14ac:dyDescent="0.25">
      <c r="A158" s="14">
        <v>400</v>
      </c>
      <c r="B158" s="20" t="s">
        <v>94</v>
      </c>
      <c r="C158" s="22" t="s">
        <v>1138</v>
      </c>
      <c r="D158" s="108" t="s">
        <v>215</v>
      </c>
      <c r="E158" s="167">
        <v>100</v>
      </c>
      <c r="F158" s="166"/>
      <c r="G158" s="167">
        <v>100</v>
      </c>
      <c r="H158" s="167">
        <v>100</v>
      </c>
      <c r="I158" s="167">
        <v>100</v>
      </c>
      <c r="J158" s="167"/>
      <c r="M158" s="7"/>
      <c r="N158" s="7"/>
      <c r="O158" s="7"/>
    </row>
    <row r="159" spans="1:15" ht="18" customHeight="1" x14ac:dyDescent="0.25">
      <c r="A159" s="14">
        <v>400</v>
      </c>
      <c r="B159" s="20" t="s">
        <v>94</v>
      </c>
      <c r="C159" s="22" t="s">
        <v>1139</v>
      </c>
      <c r="D159" s="108" t="s">
        <v>216</v>
      </c>
      <c r="E159" s="167">
        <v>500</v>
      </c>
      <c r="F159" s="166"/>
      <c r="G159" s="167">
        <v>650</v>
      </c>
      <c r="H159" s="167">
        <v>650</v>
      </c>
      <c r="I159" s="167">
        <v>650</v>
      </c>
      <c r="J159" s="167"/>
      <c r="M159" s="7"/>
      <c r="N159" s="7"/>
      <c r="O159" s="7"/>
    </row>
    <row r="160" spans="1:15" ht="18" customHeight="1" x14ac:dyDescent="0.25">
      <c r="A160" s="14">
        <v>400</v>
      </c>
      <c r="B160" s="20" t="s">
        <v>94</v>
      </c>
      <c r="C160" s="22" t="s">
        <v>1140</v>
      </c>
      <c r="D160" s="108" t="s">
        <v>132</v>
      </c>
      <c r="E160" s="167">
        <v>4090</v>
      </c>
      <c r="F160" s="166"/>
      <c r="G160" s="167">
        <v>2135</v>
      </c>
      <c r="H160" s="167">
        <v>2135</v>
      </c>
      <c r="I160" s="167">
        <v>2135</v>
      </c>
      <c r="J160" s="167"/>
      <c r="M160" s="7"/>
      <c r="N160" s="7"/>
      <c r="O160" s="7"/>
    </row>
    <row r="161" spans="1:148" ht="18" customHeight="1" x14ac:dyDescent="0.25">
      <c r="A161" s="17" t="s">
        <v>82</v>
      </c>
      <c r="B161" s="21" t="s">
        <v>31</v>
      </c>
      <c r="C161" s="19" t="s">
        <v>31</v>
      </c>
      <c r="D161" s="21" t="s">
        <v>31</v>
      </c>
      <c r="E161" s="168">
        <f>SUM(E152:E160)</f>
        <v>80990</v>
      </c>
      <c r="F161" s="166"/>
      <c r="G161" s="168">
        <f>SUM(G152:G160)</f>
        <v>79934</v>
      </c>
      <c r="H161" s="168">
        <f>SUM(H152:H160)</f>
        <v>79934</v>
      </c>
      <c r="I161" s="168">
        <f>SUM(I152:I160)</f>
        <v>79934</v>
      </c>
      <c r="J161" s="168">
        <f>SUM(J152:J160)</f>
        <v>0</v>
      </c>
      <c r="M161" s="7"/>
      <c r="N161" s="7"/>
      <c r="O161" s="7"/>
    </row>
    <row r="162" spans="1:148" ht="18" customHeight="1" x14ac:dyDescent="0.25">
      <c r="A162" s="14">
        <v>401</v>
      </c>
      <c r="B162" s="20" t="s">
        <v>95</v>
      </c>
      <c r="C162" s="22" t="s">
        <v>1085</v>
      </c>
      <c r="D162" s="108" t="s">
        <v>217</v>
      </c>
      <c r="E162" s="167">
        <v>27659</v>
      </c>
      <c r="F162" s="166"/>
      <c r="G162" s="167">
        <v>27659</v>
      </c>
      <c r="H162" s="167">
        <v>27659</v>
      </c>
      <c r="I162" s="167">
        <v>27659</v>
      </c>
      <c r="J162" s="167"/>
      <c r="M162" s="7"/>
      <c r="N162" s="7"/>
      <c r="O162" s="7"/>
    </row>
    <row r="163" spans="1:148" ht="18" customHeight="1" x14ac:dyDescent="0.25">
      <c r="A163" s="14">
        <v>401</v>
      </c>
      <c r="B163" s="20" t="s">
        <v>95</v>
      </c>
      <c r="C163" s="22" t="s">
        <v>1086</v>
      </c>
      <c r="D163" s="108" t="s">
        <v>218</v>
      </c>
      <c r="E163" s="167">
        <v>1000</v>
      </c>
      <c r="F163" s="166"/>
      <c r="G163" s="167">
        <v>1000</v>
      </c>
      <c r="H163" s="167">
        <v>1000</v>
      </c>
      <c r="I163" s="167">
        <v>1000</v>
      </c>
      <c r="J163" s="167"/>
      <c r="M163" s="7"/>
      <c r="N163" s="7"/>
      <c r="O163" s="7"/>
    </row>
    <row r="164" spans="1:148" ht="18" customHeight="1" x14ac:dyDescent="0.25">
      <c r="A164" s="14">
        <v>401</v>
      </c>
      <c r="B164" s="20" t="s">
        <v>95</v>
      </c>
      <c r="C164" s="22" t="s">
        <v>1087</v>
      </c>
      <c r="D164" s="108" t="s">
        <v>219</v>
      </c>
      <c r="E164" s="167">
        <v>2800</v>
      </c>
      <c r="F164" s="166"/>
      <c r="G164" s="167">
        <v>2800</v>
      </c>
      <c r="H164" s="167">
        <v>2800</v>
      </c>
      <c r="I164" s="167">
        <v>2800</v>
      </c>
      <c r="J164" s="167"/>
      <c r="M164" s="7"/>
      <c r="N164" s="7"/>
      <c r="O164" s="7"/>
    </row>
    <row r="165" spans="1:148" ht="18" customHeight="1" x14ac:dyDescent="0.25">
      <c r="A165" s="14">
        <v>401</v>
      </c>
      <c r="B165" s="20" t="s">
        <v>95</v>
      </c>
      <c r="C165" s="22" t="s">
        <v>1088</v>
      </c>
      <c r="D165" s="108" t="s">
        <v>220</v>
      </c>
      <c r="E165" s="167">
        <v>18000</v>
      </c>
      <c r="F165" s="166"/>
      <c r="G165" s="167">
        <v>20000</v>
      </c>
      <c r="H165" s="167">
        <v>18000</v>
      </c>
      <c r="I165" s="167">
        <v>18000</v>
      </c>
      <c r="J165" s="167"/>
      <c r="M165" s="7"/>
      <c r="N165" s="7"/>
      <c r="O165" s="7"/>
    </row>
    <row r="166" spans="1:148" ht="18" customHeight="1" x14ac:dyDescent="0.25">
      <c r="A166" s="14">
        <v>401</v>
      </c>
      <c r="B166" s="20" t="s">
        <v>95</v>
      </c>
      <c r="C166" s="22" t="s">
        <v>1089</v>
      </c>
      <c r="D166" s="108" t="s">
        <v>221</v>
      </c>
      <c r="E166" s="167">
        <v>30000</v>
      </c>
      <c r="F166" s="166"/>
      <c r="G166" s="171">
        <v>30000</v>
      </c>
      <c r="H166" s="171">
        <v>30000</v>
      </c>
      <c r="I166" s="167">
        <v>30000</v>
      </c>
      <c r="J166" s="167"/>
      <c r="M166" s="7"/>
      <c r="N166" s="7"/>
      <c r="O166" s="7"/>
    </row>
    <row r="167" spans="1:148" ht="18" customHeight="1" x14ac:dyDescent="0.25">
      <c r="A167" s="14">
        <v>401</v>
      </c>
      <c r="B167" s="20" t="s">
        <v>95</v>
      </c>
      <c r="C167" s="22" t="s">
        <v>1090</v>
      </c>
      <c r="D167" s="108" t="s">
        <v>128</v>
      </c>
      <c r="E167" s="167">
        <v>3600</v>
      </c>
      <c r="F167" s="166"/>
      <c r="G167" s="171">
        <v>3600</v>
      </c>
      <c r="H167" s="171">
        <v>3600</v>
      </c>
      <c r="I167" s="167">
        <v>3600</v>
      </c>
      <c r="J167" s="167"/>
      <c r="M167" s="7"/>
      <c r="N167" s="7"/>
      <c r="O167" s="7"/>
    </row>
    <row r="168" spans="1:148" s="10" customFormat="1" ht="18" customHeight="1" x14ac:dyDescent="0.25">
      <c r="A168" s="14">
        <v>401</v>
      </c>
      <c r="B168" s="20" t="s">
        <v>95</v>
      </c>
      <c r="C168" s="22" t="s">
        <v>1091</v>
      </c>
      <c r="D168" s="108" t="s">
        <v>222</v>
      </c>
      <c r="E168" s="167">
        <v>400</v>
      </c>
      <c r="F168" s="166"/>
      <c r="G168" s="171">
        <v>400</v>
      </c>
      <c r="H168" s="171">
        <v>400</v>
      </c>
      <c r="I168" s="167">
        <v>400</v>
      </c>
      <c r="J168" s="167"/>
      <c r="K168" s="217"/>
      <c r="L168" s="8"/>
      <c r="M168" s="7"/>
      <c r="N168" s="7"/>
      <c r="O168" s="7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</row>
    <row r="169" spans="1:148" ht="18" customHeight="1" x14ac:dyDescent="0.25">
      <c r="A169" s="14">
        <v>401</v>
      </c>
      <c r="B169" s="20" t="s">
        <v>95</v>
      </c>
      <c r="C169" s="22" t="s">
        <v>1092</v>
      </c>
      <c r="D169" s="108" t="s">
        <v>223</v>
      </c>
      <c r="E169" s="167">
        <v>25000</v>
      </c>
      <c r="F169" s="166"/>
      <c r="G169" s="171">
        <v>28600</v>
      </c>
      <c r="H169" s="171">
        <v>28600</v>
      </c>
      <c r="I169" s="167">
        <v>28600</v>
      </c>
      <c r="J169" s="167"/>
      <c r="M169" s="7"/>
      <c r="N169" s="7"/>
      <c r="O169" s="7"/>
    </row>
    <row r="170" spans="1:148" ht="18" customHeight="1" x14ac:dyDescent="0.25">
      <c r="A170" s="14">
        <v>401</v>
      </c>
      <c r="B170" s="20" t="s">
        <v>95</v>
      </c>
      <c r="C170" s="22" t="s">
        <v>1093</v>
      </c>
      <c r="D170" s="108" t="s">
        <v>224</v>
      </c>
      <c r="E170" s="167">
        <v>0</v>
      </c>
      <c r="F170" s="166"/>
      <c r="G170" s="171"/>
      <c r="H170" s="171"/>
      <c r="I170" s="167"/>
      <c r="J170" s="167"/>
      <c r="M170" s="7"/>
      <c r="N170" s="7"/>
      <c r="O170" s="7"/>
    </row>
    <row r="171" spans="1:148" ht="18" customHeight="1" x14ac:dyDescent="0.25">
      <c r="A171" s="14">
        <v>401</v>
      </c>
      <c r="B171" s="20" t="s">
        <v>95</v>
      </c>
      <c r="C171" s="22" t="s">
        <v>1094</v>
      </c>
      <c r="D171" s="108" t="s">
        <v>225</v>
      </c>
      <c r="E171" s="167">
        <v>1000</v>
      </c>
      <c r="F171" s="166"/>
      <c r="G171" s="171">
        <v>1000</v>
      </c>
      <c r="H171" s="171">
        <v>1000</v>
      </c>
      <c r="I171" s="167">
        <v>1000</v>
      </c>
      <c r="J171" s="167"/>
      <c r="M171" s="7"/>
      <c r="N171" s="7"/>
      <c r="O171" s="7"/>
    </row>
    <row r="172" spans="1:148" ht="18" customHeight="1" x14ac:dyDescent="0.25">
      <c r="A172" s="14">
        <v>401</v>
      </c>
      <c r="B172" s="20" t="s">
        <v>95</v>
      </c>
      <c r="C172" s="22" t="s">
        <v>1095</v>
      </c>
      <c r="D172" s="108" t="s">
        <v>226</v>
      </c>
      <c r="E172" s="167">
        <v>2600</v>
      </c>
      <c r="F172" s="166"/>
      <c r="G172" s="171">
        <v>1800</v>
      </c>
      <c r="H172" s="171">
        <v>1800</v>
      </c>
      <c r="I172" s="167">
        <v>1800</v>
      </c>
      <c r="J172" s="167"/>
      <c r="M172" s="7"/>
      <c r="N172" s="7"/>
      <c r="O172" s="7"/>
    </row>
    <row r="173" spans="1:148" ht="18" customHeight="1" x14ac:dyDescent="0.25">
      <c r="A173" s="14">
        <v>401</v>
      </c>
      <c r="B173" s="20" t="s">
        <v>95</v>
      </c>
      <c r="C173" s="22" t="s">
        <v>1096</v>
      </c>
      <c r="D173" s="108" t="s">
        <v>227</v>
      </c>
      <c r="E173" s="167">
        <v>7500</v>
      </c>
      <c r="F173" s="166"/>
      <c r="G173" s="171">
        <v>7500</v>
      </c>
      <c r="H173" s="171">
        <v>7500</v>
      </c>
      <c r="I173" s="167">
        <v>7500</v>
      </c>
      <c r="J173" s="167"/>
      <c r="M173" s="7"/>
      <c r="N173" s="7"/>
      <c r="O173" s="7"/>
    </row>
    <row r="174" spans="1:148" ht="18" customHeight="1" x14ac:dyDescent="0.25">
      <c r="A174" s="14">
        <v>401</v>
      </c>
      <c r="B174" s="20" t="s">
        <v>95</v>
      </c>
      <c r="C174" s="22" t="s">
        <v>1097</v>
      </c>
      <c r="D174" s="108" t="s">
        <v>228</v>
      </c>
      <c r="E174" s="167">
        <v>2500</v>
      </c>
      <c r="F174" s="166"/>
      <c r="G174" s="171">
        <v>2500</v>
      </c>
      <c r="H174" s="171">
        <v>2500</v>
      </c>
      <c r="I174" s="167">
        <v>2500</v>
      </c>
      <c r="J174" s="167"/>
      <c r="M174" s="7"/>
      <c r="N174" s="7"/>
      <c r="O174" s="7"/>
    </row>
    <row r="175" spans="1:148" s="10" customFormat="1" ht="18" customHeight="1" x14ac:dyDescent="0.25">
      <c r="A175" s="14">
        <v>401</v>
      </c>
      <c r="B175" s="20" t="s">
        <v>95</v>
      </c>
      <c r="C175" s="22" t="s">
        <v>1098</v>
      </c>
      <c r="D175" s="108" t="s">
        <v>229</v>
      </c>
      <c r="E175" s="167">
        <v>5500</v>
      </c>
      <c r="F175" s="166"/>
      <c r="G175" s="171">
        <v>5500</v>
      </c>
      <c r="H175" s="171">
        <v>5500</v>
      </c>
      <c r="I175" s="167">
        <v>5500</v>
      </c>
      <c r="J175" s="167"/>
      <c r="K175" s="217"/>
      <c r="L175" s="8"/>
      <c r="M175" s="7"/>
      <c r="N175" s="7"/>
      <c r="O175" s="7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</row>
    <row r="176" spans="1:148" ht="18" customHeight="1" x14ac:dyDescent="0.25">
      <c r="A176" s="14">
        <v>401</v>
      </c>
      <c r="B176" s="20" t="s">
        <v>95</v>
      </c>
      <c r="C176" s="22" t="s">
        <v>1099</v>
      </c>
      <c r="D176" s="108" t="s">
        <v>230</v>
      </c>
      <c r="E176" s="167">
        <v>3000</v>
      </c>
      <c r="F176" s="166"/>
      <c r="G176" s="171">
        <v>3000</v>
      </c>
      <c r="H176" s="171">
        <v>3000</v>
      </c>
      <c r="I176" s="167">
        <v>3000</v>
      </c>
      <c r="J176" s="167"/>
      <c r="M176" s="7"/>
      <c r="N176" s="7"/>
      <c r="O176" s="7"/>
    </row>
    <row r="177" spans="1:148" ht="18" customHeight="1" x14ac:dyDescent="0.25">
      <c r="A177" s="14">
        <v>401</v>
      </c>
      <c r="B177" s="20" t="s">
        <v>95</v>
      </c>
      <c r="C177" s="22" t="s">
        <v>1100</v>
      </c>
      <c r="D177" s="108" t="s">
        <v>231</v>
      </c>
      <c r="E177" s="167">
        <v>2000</v>
      </c>
      <c r="F177" s="166"/>
      <c r="G177" s="171">
        <v>2000</v>
      </c>
      <c r="H177" s="171">
        <v>2000</v>
      </c>
      <c r="I177" s="167">
        <v>2000</v>
      </c>
      <c r="J177" s="167"/>
      <c r="M177" s="7"/>
      <c r="N177" s="7"/>
      <c r="O177" s="7"/>
    </row>
    <row r="178" spans="1:148" ht="18" customHeight="1" x14ac:dyDescent="0.25">
      <c r="A178" s="14">
        <v>401</v>
      </c>
      <c r="B178" s="20" t="s">
        <v>95</v>
      </c>
      <c r="C178" s="22" t="s">
        <v>1101</v>
      </c>
      <c r="D178" s="108" t="s">
        <v>232</v>
      </c>
      <c r="E178" s="167">
        <v>6500</v>
      </c>
      <c r="F178" s="166"/>
      <c r="G178" s="171">
        <v>6000</v>
      </c>
      <c r="H178" s="171">
        <v>6000</v>
      </c>
      <c r="I178" s="167">
        <v>6000</v>
      </c>
      <c r="J178" s="167"/>
      <c r="M178" s="7"/>
      <c r="N178" s="7"/>
      <c r="O178" s="7"/>
    </row>
    <row r="179" spans="1:148" ht="18" customHeight="1" x14ac:dyDescent="0.25">
      <c r="A179" s="14">
        <v>401</v>
      </c>
      <c r="B179" s="20" t="s">
        <v>95</v>
      </c>
      <c r="C179" s="22" t="s">
        <v>1102</v>
      </c>
      <c r="D179" s="108" t="s">
        <v>233</v>
      </c>
      <c r="E179" s="167">
        <v>5500</v>
      </c>
      <c r="F179" s="166"/>
      <c r="G179" s="171">
        <v>5500</v>
      </c>
      <c r="H179" s="171">
        <v>5500</v>
      </c>
      <c r="I179" s="167">
        <v>5500</v>
      </c>
      <c r="J179" s="167"/>
      <c r="M179" s="7"/>
      <c r="N179" s="7"/>
      <c r="O179" s="7"/>
    </row>
    <row r="180" spans="1:148" ht="18" customHeight="1" x14ac:dyDescent="0.25">
      <c r="A180" s="14">
        <v>401</v>
      </c>
      <c r="B180" s="20" t="s">
        <v>95</v>
      </c>
      <c r="C180" s="22" t="s">
        <v>1103</v>
      </c>
      <c r="D180" s="108" t="s">
        <v>234</v>
      </c>
      <c r="E180" s="167">
        <v>12000</v>
      </c>
      <c r="F180" s="166"/>
      <c r="G180" s="171">
        <v>12000</v>
      </c>
      <c r="H180" s="171">
        <v>12000</v>
      </c>
      <c r="I180" s="167">
        <v>12000</v>
      </c>
      <c r="J180" s="167"/>
      <c r="M180" s="7"/>
      <c r="N180" s="7"/>
      <c r="O180" s="7"/>
    </row>
    <row r="181" spans="1:148" ht="18" customHeight="1" x14ac:dyDescent="0.25">
      <c r="A181" s="14">
        <v>401</v>
      </c>
      <c r="B181" s="20" t="s">
        <v>95</v>
      </c>
      <c r="C181" s="22" t="s">
        <v>1104</v>
      </c>
      <c r="D181" s="108" t="s">
        <v>235</v>
      </c>
      <c r="E181" s="167">
        <v>6500</v>
      </c>
      <c r="F181" s="166"/>
      <c r="G181" s="171">
        <v>6500</v>
      </c>
      <c r="H181" s="171">
        <v>6500</v>
      </c>
      <c r="I181" s="167">
        <v>6500</v>
      </c>
      <c r="J181" s="167"/>
      <c r="M181" s="7"/>
      <c r="N181" s="7"/>
      <c r="O181" s="7"/>
    </row>
    <row r="182" spans="1:148" ht="18" customHeight="1" x14ac:dyDescent="0.25">
      <c r="A182" s="14">
        <v>401</v>
      </c>
      <c r="B182" s="20" t="s">
        <v>95</v>
      </c>
      <c r="C182" s="22" t="s">
        <v>1105</v>
      </c>
      <c r="D182" s="108" t="s">
        <v>236</v>
      </c>
      <c r="E182" s="167">
        <v>9000</v>
      </c>
      <c r="F182" s="166"/>
      <c r="G182" s="171">
        <v>7900</v>
      </c>
      <c r="H182" s="171">
        <v>7900</v>
      </c>
      <c r="I182" s="167">
        <v>7900</v>
      </c>
      <c r="J182" s="167"/>
      <c r="M182" s="7"/>
      <c r="N182" s="7"/>
      <c r="O182" s="7"/>
    </row>
    <row r="183" spans="1:148" ht="18" customHeight="1" x14ac:dyDescent="0.25">
      <c r="A183" s="14">
        <v>401</v>
      </c>
      <c r="B183" s="20" t="s">
        <v>95</v>
      </c>
      <c r="C183" s="22" t="s">
        <v>1106</v>
      </c>
      <c r="D183" s="108" t="s">
        <v>237</v>
      </c>
      <c r="E183" s="167">
        <v>27000</v>
      </c>
      <c r="F183" s="166"/>
      <c r="G183" s="171">
        <v>30000</v>
      </c>
      <c r="H183" s="171">
        <v>28500</v>
      </c>
      <c r="I183" s="167">
        <v>28500</v>
      </c>
      <c r="J183" s="167"/>
      <c r="M183" s="7"/>
      <c r="N183" s="7"/>
      <c r="O183" s="7"/>
    </row>
    <row r="184" spans="1:148" ht="18" customHeight="1" x14ac:dyDescent="0.25">
      <c r="A184" s="14">
        <v>401</v>
      </c>
      <c r="B184" s="20" t="s">
        <v>95</v>
      </c>
      <c r="C184" s="22" t="s">
        <v>1107</v>
      </c>
      <c r="D184" s="108" t="s">
        <v>238</v>
      </c>
      <c r="E184" s="167">
        <v>2000</v>
      </c>
      <c r="F184" s="166"/>
      <c r="G184" s="171">
        <v>2000</v>
      </c>
      <c r="H184" s="171">
        <v>2000</v>
      </c>
      <c r="I184" s="167">
        <v>2000</v>
      </c>
      <c r="J184" s="167"/>
      <c r="M184" s="7"/>
      <c r="N184" s="7"/>
      <c r="O184" s="7"/>
    </row>
    <row r="185" spans="1:148" s="10" customFormat="1" ht="18" customHeight="1" x14ac:dyDescent="0.25">
      <c r="A185" s="14">
        <v>401</v>
      </c>
      <c r="B185" s="20" t="s">
        <v>95</v>
      </c>
      <c r="C185" s="22" t="s">
        <v>1108</v>
      </c>
      <c r="D185" s="108" t="s">
        <v>239</v>
      </c>
      <c r="E185" s="167">
        <v>27000</v>
      </c>
      <c r="F185" s="166"/>
      <c r="G185" s="171">
        <v>30000</v>
      </c>
      <c r="H185" s="171">
        <v>27000</v>
      </c>
      <c r="I185" s="167">
        <v>27000</v>
      </c>
      <c r="J185" s="167"/>
      <c r="K185" s="217"/>
      <c r="L185" s="8"/>
      <c r="M185" s="7"/>
      <c r="N185" s="7"/>
      <c r="O185" s="7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</row>
    <row r="186" spans="1:148" ht="18" customHeight="1" x14ac:dyDescent="0.25">
      <c r="A186" s="14">
        <v>401</v>
      </c>
      <c r="B186" s="20" t="s">
        <v>95</v>
      </c>
      <c r="C186" s="22" t="s">
        <v>1109</v>
      </c>
      <c r="D186" s="108" t="s">
        <v>240</v>
      </c>
      <c r="E186" s="167">
        <v>3000</v>
      </c>
      <c r="F186" s="166"/>
      <c r="G186" s="171">
        <v>5000</v>
      </c>
      <c r="H186" s="171">
        <v>4000</v>
      </c>
      <c r="I186" s="167">
        <v>4000</v>
      </c>
      <c r="J186" s="167"/>
      <c r="M186" s="7"/>
      <c r="N186" s="7"/>
      <c r="O186" s="7"/>
    </row>
    <row r="187" spans="1:148" ht="18" customHeight="1" x14ac:dyDescent="0.25">
      <c r="A187" s="14">
        <v>401</v>
      </c>
      <c r="B187" s="20" t="s">
        <v>95</v>
      </c>
      <c r="C187" s="22" t="s">
        <v>1110</v>
      </c>
      <c r="D187" s="108" t="s">
        <v>241</v>
      </c>
      <c r="E187" s="167">
        <v>9000</v>
      </c>
      <c r="F187" s="166"/>
      <c r="G187" s="171">
        <v>9000</v>
      </c>
      <c r="H187" s="171">
        <v>9000</v>
      </c>
      <c r="I187" s="167">
        <v>9000</v>
      </c>
      <c r="J187" s="167"/>
      <c r="M187" s="7"/>
      <c r="N187" s="7"/>
      <c r="O187" s="7"/>
    </row>
    <row r="188" spans="1:148" ht="18" customHeight="1" x14ac:dyDescent="0.25">
      <c r="A188" s="14">
        <v>401</v>
      </c>
      <c r="B188" s="20" t="s">
        <v>95</v>
      </c>
      <c r="C188" s="22" t="s">
        <v>1111</v>
      </c>
      <c r="D188" s="108" t="s">
        <v>242</v>
      </c>
      <c r="E188" s="167">
        <v>2500</v>
      </c>
      <c r="F188" s="166"/>
      <c r="G188" s="171">
        <v>2000</v>
      </c>
      <c r="H188" s="171">
        <v>2000</v>
      </c>
      <c r="I188" s="167">
        <v>2000</v>
      </c>
      <c r="J188" s="167"/>
      <c r="M188" s="7"/>
      <c r="N188" s="7"/>
      <c r="O188" s="7"/>
    </row>
    <row r="189" spans="1:148" ht="18" customHeight="1" x14ac:dyDescent="0.25">
      <c r="A189" s="14">
        <v>401</v>
      </c>
      <c r="B189" s="20" t="s">
        <v>95</v>
      </c>
      <c r="C189" s="22" t="s">
        <v>1112</v>
      </c>
      <c r="D189" s="108" t="s">
        <v>243</v>
      </c>
      <c r="E189" s="167">
        <v>5000</v>
      </c>
      <c r="F189" s="166"/>
      <c r="G189" s="171">
        <v>5000</v>
      </c>
      <c r="H189" s="171">
        <v>5000</v>
      </c>
      <c r="I189" s="167">
        <v>5000</v>
      </c>
      <c r="J189" s="167"/>
      <c r="M189" s="7"/>
      <c r="N189" s="7"/>
      <c r="O189" s="7"/>
    </row>
    <row r="190" spans="1:148" ht="18" customHeight="1" x14ac:dyDescent="0.25">
      <c r="A190" s="14">
        <v>401</v>
      </c>
      <c r="B190" s="20" t="s">
        <v>95</v>
      </c>
      <c r="C190" s="22" t="s">
        <v>1113</v>
      </c>
      <c r="D190" s="108" t="s">
        <v>244</v>
      </c>
      <c r="E190" s="167">
        <v>4000</v>
      </c>
      <c r="F190" s="166"/>
      <c r="G190" s="171">
        <v>4000</v>
      </c>
      <c r="H190" s="171">
        <v>4000</v>
      </c>
      <c r="I190" s="167">
        <v>4000</v>
      </c>
      <c r="J190" s="167"/>
      <c r="M190" s="7"/>
      <c r="N190" s="7"/>
      <c r="O190" s="7"/>
    </row>
    <row r="191" spans="1:148" ht="18" customHeight="1" x14ac:dyDescent="0.25">
      <c r="A191" s="14">
        <v>401</v>
      </c>
      <c r="B191" s="20" t="s">
        <v>95</v>
      </c>
      <c r="C191" s="22" t="s">
        <v>1114</v>
      </c>
      <c r="D191" s="108" t="s">
        <v>216</v>
      </c>
      <c r="E191" s="167">
        <v>14000</v>
      </c>
      <c r="F191" s="166"/>
      <c r="G191" s="171">
        <v>14000</v>
      </c>
      <c r="H191" s="171">
        <v>14000</v>
      </c>
      <c r="I191" s="167">
        <v>14000</v>
      </c>
      <c r="J191" s="167"/>
      <c r="M191" s="7"/>
      <c r="N191" s="7"/>
      <c r="O191" s="7"/>
    </row>
    <row r="192" spans="1:148" ht="18" customHeight="1" x14ac:dyDescent="0.25">
      <c r="A192" s="14">
        <v>401</v>
      </c>
      <c r="B192" s="20" t="s">
        <v>95</v>
      </c>
      <c r="C192" s="22" t="s">
        <v>1115</v>
      </c>
      <c r="D192" s="108" t="s">
        <v>245</v>
      </c>
      <c r="E192" s="167">
        <v>13000</v>
      </c>
      <c r="F192" s="166"/>
      <c r="G192" s="171">
        <v>18000</v>
      </c>
      <c r="H192" s="171">
        <v>15000</v>
      </c>
      <c r="I192" s="167">
        <v>15000</v>
      </c>
      <c r="J192" s="167"/>
      <c r="M192" s="7"/>
      <c r="N192" s="7"/>
      <c r="O192" s="7"/>
    </row>
    <row r="193" spans="1:15" ht="18" customHeight="1" x14ac:dyDescent="0.25">
      <c r="A193" s="14">
        <v>401</v>
      </c>
      <c r="B193" s="20" t="s">
        <v>95</v>
      </c>
      <c r="C193" s="22" t="s">
        <v>1116</v>
      </c>
      <c r="D193" s="108" t="s">
        <v>246</v>
      </c>
      <c r="E193" s="167">
        <v>1000</v>
      </c>
      <c r="F193" s="166"/>
      <c r="G193" s="167">
        <v>1000</v>
      </c>
      <c r="H193" s="167">
        <v>1000</v>
      </c>
      <c r="I193" s="167">
        <v>1000</v>
      </c>
      <c r="J193" s="167"/>
      <c r="M193" s="7"/>
      <c r="N193" s="7"/>
      <c r="O193" s="7"/>
    </row>
    <row r="194" spans="1:15" ht="18" customHeight="1" x14ac:dyDescent="0.25">
      <c r="A194" s="14">
        <v>401</v>
      </c>
      <c r="B194" s="20" t="s">
        <v>95</v>
      </c>
      <c r="C194" s="22" t="s">
        <v>1117</v>
      </c>
      <c r="D194" s="108" t="s">
        <v>247</v>
      </c>
      <c r="E194" s="167">
        <v>1500</v>
      </c>
      <c r="F194" s="166"/>
      <c r="G194" s="167">
        <v>1500</v>
      </c>
      <c r="H194" s="167">
        <v>1500</v>
      </c>
      <c r="I194" s="167">
        <v>1500</v>
      </c>
      <c r="J194" s="167"/>
      <c r="M194" s="7"/>
      <c r="N194" s="7"/>
      <c r="O194" s="7"/>
    </row>
    <row r="195" spans="1:15" ht="18" customHeight="1" x14ac:dyDescent="0.25">
      <c r="A195" s="17" t="s">
        <v>83</v>
      </c>
      <c r="B195" s="21" t="s">
        <v>31</v>
      </c>
      <c r="C195" s="19" t="s">
        <v>31</v>
      </c>
      <c r="D195" s="21" t="s">
        <v>31</v>
      </c>
      <c r="E195" s="168">
        <f>SUM(E162:E194)</f>
        <v>281059</v>
      </c>
      <c r="F195" s="166"/>
      <c r="G195" s="168">
        <f>SUM(G162:G194)</f>
        <v>296759</v>
      </c>
      <c r="H195" s="168">
        <f>SUM(H162:H194)</f>
        <v>286259</v>
      </c>
      <c r="I195" s="168">
        <f t="shared" ref="I195:J195" si="6">SUM(I162:I194)</f>
        <v>286259</v>
      </c>
      <c r="J195" s="168">
        <f t="shared" si="6"/>
        <v>0</v>
      </c>
      <c r="M195" s="7"/>
      <c r="N195" s="7"/>
      <c r="O195" s="7"/>
    </row>
    <row r="196" spans="1:15" ht="18" customHeight="1" x14ac:dyDescent="0.25">
      <c r="A196" s="14">
        <v>402</v>
      </c>
      <c r="B196" s="20" t="s">
        <v>84</v>
      </c>
      <c r="C196" s="22" t="s">
        <v>929</v>
      </c>
      <c r="D196" s="108" t="s">
        <v>248</v>
      </c>
      <c r="E196" s="167">
        <v>315234</v>
      </c>
      <c r="F196" s="166"/>
      <c r="G196" s="167">
        <v>524768</v>
      </c>
      <c r="H196" s="167">
        <v>524768</v>
      </c>
      <c r="I196" s="167">
        <v>524768</v>
      </c>
      <c r="J196" s="167"/>
      <c r="M196" s="7"/>
      <c r="N196" s="7"/>
      <c r="O196" s="7"/>
    </row>
    <row r="197" spans="1:15" ht="18" customHeight="1" x14ac:dyDescent="0.25">
      <c r="A197" s="14">
        <v>402</v>
      </c>
      <c r="B197" s="20" t="s">
        <v>84</v>
      </c>
      <c r="C197" s="22" t="s">
        <v>930</v>
      </c>
      <c r="D197" s="108" t="s">
        <v>249</v>
      </c>
      <c r="E197" s="167">
        <v>21323</v>
      </c>
      <c r="F197" s="166"/>
      <c r="G197" s="167">
        <v>23679</v>
      </c>
      <c r="H197" s="167">
        <v>23679</v>
      </c>
      <c r="I197" s="167">
        <v>23679</v>
      </c>
      <c r="J197" s="167"/>
      <c r="M197" s="7"/>
      <c r="N197" s="7"/>
      <c r="O197" s="7"/>
    </row>
    <row r="198" spans="1:15" ht="18" customHeight="1" x14ac:dyDescent="0.25">
      <c r="A198" s="14">
        <v>402</v>
      </c>
      <c r="B198" s="20" t="s">
        <v>84</v>
      </c>
      <c r="C198" s="22" t="s">
        <v>931</v>
      </c>
      <c r="D198" s="108" t="s">
        <v>250</v>
      </c>
      <c r="E198" s="167">
        <v>0</v>
      </c>
      <c r="F198" s="166"/>
      <c r="G198" s="167"/>
      <c r="H198" s="167"/>
      <c r="I198" s="167"/>
      <c r="J198" s="167"/>
      <c r="M198" s="7"/>
      <c r="N198" s="7"/>
      <c r="O198" s="7"/>
    </row>
    <row r="199" spans="1:15" ht="18" customHeight="1" x14ac:dyDescent="0.25">
      <c r="A199" s="14">
        <v>402</v>
      </c>
      <c r="B199" s="20" t="s">
        <v>84</v>
      </c>
      <c r="C199" s="262" t="s">
        <v>932</v>
      </c>
      <c r="D199" s="211" t="s">
        <v>251</v>
      </c>
      <c r="E199" s="212">
        <v>16000</v>
      </c>
      <c r="F199" s="213"/>
      <c r="G199" s="212">
        <v>17100</v>
      </c>
      <c r="H199" s="264">
        <v>17100</v>
      </c>
      <c r="I199" s="167">
        <v>17100</v>
      </c>
      <c r="J199" s="167"/>
      <c r="M199" s="7"/>
      <c r="N199" s="7"/>
      <c r="O199" s="7"/>
    </row>
    <row r="200" spans="1:15" ht="18" customHeight="1" x14ac:dyDescent="0.25">
      <c r="A200" s="14">
        <v>402</v>
      </c>
      <c r="B200" s="20" t="s">
        <v>84</v>
      </c>
      <c r="C200" s="262" t="s">
        <v>933</v>
      </c>
      <c r="D200" s="211" t="s">
        <v>1397</v>
      </c>
      <c r="E200" s="212">
        <v>400</v>
      </c>
      <c r="F200" s="213"/>
      <c r="G200" s="212">
        <v>400</v>
      </c>
      <c r="H200" s="264">
        <v>5400</v>
      </c>
      <c r="I200" s="167">
        <v>5400</v>
      </c>
      <c r="J200" s="167"/>
      <c r="M200" s="7"/>
      <c r="N200" s="7"/>
      <c r="O200" s="7"/>
    </row>
    <row r="201" spans="1:15" ht="18" customHeight="1" x14ac:dyDescent="0.25">
      <c r="A201" s="14">
        <v>402</v>
      </c>
      <c r="B201" s="20" t="s">
        <v>84</v>
      </c>
      <c r="C201" s="262" t="s">
        <v>934</v>
      </c>
      <c r="D201" s="211" t="s">
        <v>252</v>
      </c>
      <c r="E201" s="212">
        <v>45000</v>
      </c>
      <c r="F201" s="213"/>
      <c r="G201" s="212">
        <v>45000</v>
      </c>
      <c r="H201" s="264">
        <v>45000</v>
      </c>
      <c r="I201" s="167">
        <v>45000</v>
      </c>
      <c r="J201" s="167"/>
      <c r="M201" s="7"/>
      <c r="N201" s="7"/>
      <c r="O201" s="7"/>
    </row>
    <row r="202" spans="1:15" ht="18" customHeight="1" x14ac:dyDescent="0.25">
      <c r="A202" s="14">
        <v>402</v>
      </c>
      <c r="B202" s="20" t="s">
        <v>84</v>
      </c>
      <c r="C202" s="262" t="s">
        <v>935</v>
      </c>
      <c r="D202" s="211" t="s">
        <v>253</v>
      </c>
      <c r="E202" s="212">
        <v>10500</v>
      </c>
      <c r="F202" s="213"/>
      <c r="G202" s="212">
        <v>9000</v>
      </c>
      <c r="H202" s="264">
        <v>9000</v>
      </c>
      <c r="I202" s="167">
        <v>9000</v>
      </c>
      <c r="J202" s="167"/>
      <c r="M202" s="7"/>
      <c r="N202" s="7"/>
      <c r="O202" s="7"/>
    </row>
    <row r="203" spans="1:15" ht="18" customHeight="1" x14ac:dyDescent="0.25">
      <c r="A203" s="14">
        <v>402</v>
      </c>
      <c r="B203" s="20" t="s">
        <v>84</v>
      </c>
      <c r="C203" s="262" t="s">
        <v>936</v>
      </c>
      <c r="D203" s="211" t="s">
        <v>254</v>
      </c>
      <c r="E203" s="212">
        <v>38500</v>
      </c>
      <c r="F203" s="213"/>
      <c r="G203" s="212">
        <v>39200</v>
      </c>
      <c r="H203" s="264">
        <v>39200</v>
      </c>
      <c r="I203" s="167">
        <v>39200</v>
      </c>
      <c r="J203" s="167"/>
      <c r="M203" s="7"/>
      <c r="N203" s="7"/>
      <c r="O203" s="7"/>
    </row>
    <row r="204" spans="1:15" ht="18" customHeight="1" x14ac:dyDescent="0.25">
      <c r="A204" s="14">
        <v>402</v>
      </c>
      <c r="B204" s="20" t="s">
        <v>84</v>
      </c>
      <c r="C204" s="262" t="s">
        <v>937</v>
      </c>
      <c r="D204" s="211" t="s">
        <v>255</v>
      </c>
      <c r="E204" s="264">
        <v>400</v>
      </c>
      <c r="F204" s="213"/>
      <c r="G204" s="264">
        <v>400</v>
      </c>
      <c r="H204" s="264">
        <v>400</v>
      </c>
      <c r="I204" s="167">
        <v>400</v>
      </c>
      <c r="J204" s="167"/>
      <c r="M204" s="7"/>
      <c r="N204" s="7"/>
      <c r="O204" s="7"/>
    </row>
    <row r="205" spans="1:15" ht="18" customHeight="1" x14ac:dyDescent="0.25">
      <c r="A205" s="17" t="s">
        <v>85</v>
      </c>
      <c r="B205" s="21" t="s">
        <v>31</v>
      </c>
      <c r="C205" s="19" t="s">
        <v>31</v>
      </c>
      <c r="D205" s="21" t="s">
        <v>31</v>
      </c>
      <c r="E205" s="168">
        <f>SUM(E196:E204)</f>
        <v>447357</v>
      </c>
      <c r="F205" s="166"/>
      <c r="G205" s="168">
        <f>SUM(G196:G204)</f>
        <v>659547</v>
      </c>
      <c r="H205" s="168">
        <f>SUM(H196:H204)</f>
        <v>664547</v>
      </c>
      <c r="I205" s="168">
        <f>SUM(I196:I204)</f>
        <v>664547</v>
      </c>
      <c r="J205" s="168">
        <f>SUM(J196:J204)</f>
        <v>0</v>
      </c>
      <c r="M205" s="7"/>
      <c r="N205" s="7"/>
      <c r="O205" s="7"/>
    </row>
    <row r="206" spans="1:15" ht="18" customHeight="1" x14ac:dyDescent="0.25">
      <c r="A206" s="14">
        <f>'[1]EXPENSE 20-21'!A291</f>
        <v>403</v>
      </c>
      <c r="B206" s="20" t="s">
        <v>96</v>
      </c>
      <c r="C206" s="22" t="s">
        <v>954</v>
      </c>
      <c r="D206" s="108" t="s">
        <v>256</v>
      </c>
      <c r="E206" s="167">
        <v>30115</v>
      </c>
      <c r="F206" s="166"/>
      <c r="G206" s="167">
        <v>53690</v>
      </c>
      <c r="H206" s="167">
        <v>53690</v>
      </c>
      <c r="I206" s="167">
        <v>53690</v>
      </c>
      <c r="J206" s="167"/>
      <c r="M206" s="7"/>
      <c r="N206" s="7"/>
      <c r="O206" s="7"/>
    </row>
    <row r="207" spans="1:15" ht="18" customHeight="1" x14ac:dyDescent="0.25">
      <c r="A207" s="14"/>
      <c r="B207" s="20"/>
      <c r="C207" s="22" t="s">
        <v>955</v>
      </c>
      <c r="D207" s="108" t="s">
        <v>263</v>
      </c>
      <c r="E207" s="167">
        <v>2400</v>
      </c>
      <c r="F207" s="166"/>
      <c r="G207" s="167">
        <v>2400</v>
      </c>
      <c r="H207" s="167">
        <v>2400</v>
      </c>
      <c r="I207" s="167">
        <v>2400</v>
      </c>
      <c r="J207" s="167"/>
      <c r="M207" s="7"/>
      <c r="N207" s="7"/>
      <c r="O207" s="7"/>
    </row>
    <row r="208" spans="1:15" ht="18" customHeight="1" x14ac:dyDescent="0.25">
      <c r="A208" s="14">
        <f>'[1]EXPENSE 20-21'!A292</f>
        <v>403</v>
      </c>
      <c r="B208" s="20" t="s">
        <v>96</v>
      </c>
      <c r="C208" s="22" t="s">
        <v>956</v>
      </c>
      <c r="D208" s="108" t="s">
        <v>257</v>
      </c>
      <c r="E208" s="167">
        <v>1000</v>
      </c>
      <c r="F208" s="166"/>
      <c r="G208" s="167">
        <v>1000</v>
      </c>
      <c r="H208" s="167">
        <v>1000</v>
      </c>
      <c r="I208" s="167">
        <v>1000</v>
      </c>
      <c r="J208" s="167"/>
      <c r="M208" s="7"/>
      <c r="N208" s="7"/>
      <c r="O208" s="7"/>
    </row>
    <row r="209" spans="1:148" ht="18" customHeight="1" x14ac:dyDescent="0.25">
      <c r="A209" s="14">
        <f>'[1]EXPENSE 20-21'!A293</f>
        <v>403</v>
      </c>
      <c r="B209" s="20" t="s">
        <v>96</v>
      </c>
      <c r="C209" s="22" t="s">
        <v>957</v>
      </c>
      <c r="D209" s="108" t="s">
        <v>258</v>
      </c>
      <c r="E209" s="167">
        <v>32000</v>
      </c>
      <c r="F209" s="166"/>
      <c r="G209" s="167">
        <v>35000</v>
      </c>
      <c r="H209" s="167">
        <v>35000</v>
      </c>
      <c r="I209" s="167">
        <v>35000</v>
      </c>
      <c r="J209" s="167"/>
      <c r="M209" s="7"/>
      <c r="N209" s="7"/>
      <c r="O209" s="7"/>
    </row>
    <row r="210" spans="1:148" ht="18" customHeight="1" x14ac:dyDescent="0.25">
      <c r="A210" s="14">
        <f>'[1]EXPENSE 20-21'!A294</f>
        <v>403</v>
      </c>
      <c r="B210" s="20" t="s">
        <v>96</v>
      </c>
      <c r="C210" s="22" t="s">
        <v>958</v>
      </c>
      <c r="D210" s="108" t="s">
        <v>259</v>
      </c>
      <c r="E210" s="167">
        <v>80000</v>
      </c>
      <c r="F210" s="166"/>
      <c r="G210" s="167">
        <v>80000</v>
      </c>
      <c r="H210" s="167">
        <v>80000</v>
      </c>
      <c r="I210" s="167">
        <v>80000</v>
      </c>
      <c r="J210" s="167"/>
      <c r="M210" s="7"/>
      <c r="N210" s="7"/>
      <c r="O210" s="7"/>
    </row>
    <row r="211" spans="1:148" ht="18" customHeight="1" x14ac:dyDescent="0.25">
      <c r="A211" s="14">
        <f>'[1]EXPENSE 20-21'!A295</f>
        <v>403</v>
      </c>
      <c r="B211" s="20" t="s">
        <v>96</v>
      </c>
      <c r="C211" s="22" t="s">
        <v>959</v>
      </c>
      <c r="D211" s="108" t="s">
        <v>260</v>
      </c>
      <c r="E211" s="167">
        <v>42000</v>
      </c>
      <c r="F211" s="166"/>
      <c r="G211" s="167">
        <v>42000</v>
      </c>
      <c r="H211" s="167">
        <v>42000</v>
      </c>
      <c r="I211" s="167">
        <v>42000</v>
      </c>
      <c r="J211" s="167"/>
      <c r="M211" s="7"/>
      <c r="N211" s="7"/>
      <c r="O211" s="7"/>
    </row>
    <row r="212" spans="1:148" ht="18" customHeight="1" x14ac:dyDescent="0.25">
      <c r="A212" s="14">
        <f>'[1]EXPENSE 20-21'!A296</f>
        <v>403</v>
      </c>
      <c r="B212" s="20" t="s">
        <v>96</v>
      </c>
      <c r="C212" s="22" t="s">
        <v>960</v>
      </c>
      <c r="D212" s="108" t="s">
        <v>216</v>
      </c>
      <c r="E212" s="167">
        <v>22000</v>
      </c>
      <c r="F212" s="166"/>
      <c r="G212" s="167">
        <v>22000</v>
      </c>
      <c r="H212" s="167">
        <v>22000</v>
      </c>
      <c r="I212" s="167">
        <v>22000</v>
      </c>
      <c r="J212" s="167"/>
      <c r="M212" s="7"/>
      <c r="N212" s="7"/>
      <c r="O212" s="7"/>
    </row>
    <row r="213" spans="1:148" ht="18" customHeight="1" x14ac:dyDescent="0.25">
      <c r="A213" s="14">
        <f>'[1]EXPENSE 20-21'!A297</f>
        <v>403</v>
      </c>
      <c r="B213" s="20" t="s">
        <v>96</v>
      </c>
      <c r="C213" s="22" t="s">
        <v>961</v>
      </c>
      <c r="D213" s="108" t="s">
        <v>261</v>
      </c>
      <c r="E213" s="167">
        <v>32000</v>
      </c>
      <c r="F213" s="166"/>
      <c r="G213" s="167">
        <v>32000</v>
      </c>
      <c r="H213" s="167">
        <v>32000</v>
      </c>
      <c r="I213" s="167">
        <v>32000</v>
      </c>
      <c r="J213" s="167"/>
      <c r="M213" s="7"/>
      <c r="N213" s="7"/>
      <c r="O213" s="7"/>
    </row>
    <row r="214" spans="1:148" ht="18" customHeight="1" x14ac:dyDescent="0.25">
      <c r="A214" s="14">
        <f>'[1]EXPENSE 20-21'!A298</f>
        <v>403</v>
      </c>
      <c r="B214" s="20" t="s">
        <v>96</v>
      </c>
      <c r="C214" s="22" t="s">
        <v>962</v>
      </c>
      <c r="D214" s="108" t="s">
        <v>262</v>
      </c>
      <c r="E214" s="167">
        <v>0</v>
      </c>
      <c r="F214" s="166"/>
      <c r="G214" s="167">
        <v>18300</v>
      </c>
      <c r="H214" s="167">
        <v>18300</v>
      </c>
      <c r="I214" s="167">
        <v>18300</v>
      </c>
      <c r="J214" s="167"/>
      <c r="M214" s="7"/>
      <c r="N214" s="7"/>
      <c r="O214" s="7"/>
    </row>
    <row r="215" spans="1:148" ht="18" customHeight="1" x14ac:dyDescent="0.25">
      <c r="A215" s="17" t="s">
        <v>97</v>
      </c>
      <c r="B215" s="21" t="s">
        <v>31</v>
      </c>
      <c r="C215" s="19" t="s">
        <v>31</v>
      </c>
      <c r="D215" s="21" t="s">
        <v>31</v>
      </c>
      <c r="E215" s="168">
        <f>SUM(E206:E214)</f>
        <v>241515</v>
      </c>
      <c r="F215" s="166"/>
      <c r="G215" s="168">
        <f>SUM(G206:G214)</f>
        <v>286390</v>
      </c>
      <c r="H215" s="168">
        <f>SUM(H206:H214)</f>
        <v>286390</v>
      </c>
      <c r="I215" s="168">
        <f t="shared" ref="I215:J215" si="7">SUM(I206:I214)</f>
        <v>286390</v>
      </c>
      <c r="J215" s="168">
        <f t="shared" si="7"/>
        <v>0</v>
      </c>
      <c r="M215" s="7"/>
      <c r="N215" s="7"/>
      <c r="O215" s="7"/>
    </row>
    <row r="216" spans="1:148" ht="18" customHeight="1" x14ac:dyDescent="0.25">
      <c r="A216" s="14" t="str">
        <f>'[1]EXPENSE 20-21'!A300</f>
        <v>405</v>
      </c>
      <c r="B216" s="20" t="str">
        <f>'[1]EXPENSE 20-21'!B300</f>
        <v>Economic Development</v>
      </c>
      <c r="C216" s="22" t="s">
        <v>1001</v>
      </c>
      <c r="D216" s="108" t="s">
        <v>1002</v>
      </c>
      <c r="E216" s="167">
        <v>122014</v>
      </c>
      <c r="F216" s="166"/>
      <c r="G216" s="167">
        <v>99000</v>
      </c>
      <c r="H216" s="167">
        <v>99000</v>
      </c>
      <c r="I216" s="167">
        <v>99000</v>
      </c>
      <c r="J216" s="167"/>
      <c r="M216" s="7"/>
      <c r="N216" s="7"/>
      <c r="O216" s="7"/>
    </row>
    <row r="217" spans="1:148" ht="18" customHeight="1" x14ac:dyDescent="0.25">
      <c r="A217" s="14">
        <v>405</v>
      </c>
      <c r="B217" s="20" t="s">
        <v>98</v>
      </c>
      <c r="C217" s="22" t="s">
        <v>1009</v>
      </c>
      <c r="D217" s="108" t="s">
        <v>343</v>
      </c>
      <c r="E217" s="167">
        <v>41158</v>
      </c>
      <c r="F217" s="166"/>
      <c r="G217" s="167"/>
      <c r="H217" s="167"/>
      <c r="I217" s="167"/>
      <c r="J217" s="167"/>
      <c r="M217" s="7"/>
      <c r="N217" s="7"/>
      <c r="O217" s="7"/>
    </row>
    <row r="218" spans="1:148" ht="18" customHeight="1" x14ac:dyDescent="0.25">
      <c r="A218" s="14">
        <v>405</v>
      </c>
      <c r="B218" s="20" t="s">
        <v>98</v>
      </c>
      <c r="C218" s="22" t="s">
        <v>1003</v>
      </c>
      <c r="D218" s="108" t="s">
        <v>264</v>
      </c>
      <c r="E218" s="167">
        <v>1000</v>
      </c>
      <c r="F218" s="166"/>
      <c r="G218" s="167">
        <v>1000</v>
      </c>
      <c r="H218" s="167">
        <v>1000</v>
      </c>
      <c r="I218" s="167">
        <v>1000</v>
      </c>
      <c r="J218" s="167"/>
      <c r="M218" s="7"/>
      <c r="N218" s="7"/>
      <c r="O218" s="7"/>
    </row>
    <row r="219" spans="1:148" s="10" customFormat="1" ht="18" customHeight="1" x14ac:dyDescent="0.25">
      <c r="A219" s="14">
        <v>405</v>
      </c>
      <c r="B219" s="20" t="s">
        <v>98</v>
      </c>
      <c r="C219" s="22" t="s">
        <v>1004</v>
      </c>
      <c r="D219" s="108" t="s">
        <v>265</v>
      </c>
      <c r="E219" s="167">
        <v>23000</v>
      </c>
      <c r="F219" s="166"/>
      <c r="G219" s="167">
        <v>25000</v>
      </c>
      <c r="H219" s="167">
        <v>20000</v>
      </c>
      <c r="I219" s="167">
        <v>20000</v>
      </c>
      <c r="J219" s="167"/>
      <c r="K219" s="217"/>
      <c r="L219" s="8"/>
      <c r="M219" s="7"/>
      <c r="N219" s="7"/>
      <c r="O219" s="7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</row>
    <row r="220" spans="1:148" ht="18" customHeight="1" x14ac:dyDescent="0.25">
      <c r="A220" s="14">
        <v>405</v>
      </c>
      <c r="B220" s="20" t="s">
        <v>98</v>
      </c>
      <c r="C220" s="22" t="s">
        <v>1005</v>
      </c>
      <c r="D220" s="108" t="s">
        <v>266</v>
      </c>
      <c r="E220" s="167">
        <v>1000</v>
      </c>
      <c r="F220" s="166"/>
      <c r="G220" s="167">
        <v>1000</v>
      </c>
      <c r="H220" s="167">
        <v>1000</v>
      </c>
      <c r="I220" s="167">
        <v>1000</v>
      </c>
      <c r="J220" s="167"/>
      <c r="M220" s="7"/>
      <c r="N220" s="7"/>
      <c r="O220" s="7"/>
    </row>
    <row r="221" spans="1:148" ht="18" customHeight="1" x14ac:dyDescent="0.25">
      <c r="A221" s="14">
        <v>405</v>
      </c>
      <c r="B221" s="20" t="s">
        <v>98</v>
      </c>
      <c r="C221" s="22" t="s">
        <v>1006</v>
      </c>
      <c r="D221" s="108" t="s">
        <v>267</v>
      </c>
      <c r="E221" s="167">
        <v>500</v>
      </c>
      <c r="F221" s="166"/>
      <c r="G221" s="167">
        <v>500</v>
      </c>
      <c r="H221" s="167">
        <v>500</v>
      </c>
      <c r="I221" s="167">
        <v>500</v>
      </c>
      <c r="J221" s="167"/>
      <c r="M221" s="7"/>
      <c r="N221" s="7"/>
      <c r="O221" s="7"/>
    </row>
    <row r="222" spans="1:148" ht="18" customHeight="1" x14ac:dyDescent="0.25">
      <c r="A222" s="14">
        <v>405</v>
      </c>
      <c r="B222" s="20" t="s">
        <v>98</v>
      </c>
      <c r="C222" s="22" t="s">
        <v>1007</v>
      </c>
      <c r="D222" s="108" t="s">
        <v>268</v>
      </c>
      <c r="E222" s="167">
        <v>1000</v>
      </c>
      <c r="F222" s="166"/>
      <c r="G222" s="167">
        <v>1000</v>
      </c>
      <c r="H222" s="167">
        <v>1000</v>
      </c>
      <c r="I222" s="167">
        <v>1000</v>
      </c>
      <c r="J222" s="167"/>
      <c r="M222" s="7"/>
      <c r="N222" s="7"/>
      <c r="O222" s="7"/>
    </row>
    <row r="223" spans="1:148" ht="18" customHeight="1" x14ac:dyDescent="0.25">
      <c r="A223" s="14">
        <v>405</v>
      </c>
      <c r="B223" s="20" t="s">
        <v>98</v>
      </c>
      <c r="C223" s="22" t="s">
        <v>1008</v>
      </c>
      <c r="D223" s="108" t="s">
        <v>269</v>
      </c>
      <c r="E223" s="167">
        <v>500</v>
      </c>
      <c r="F223" s="166"/>
      <c r="G223" s="167">
        <v>500</v>
      </c>
      <c r="H223" s="167">
        <v>500</v>
      </c>
      <c r="I223" s="167">
        <v>500</v>
      </c>
      <c r="J223" s="167"/>
      <c r="M223" s="7"/>
      <c r="N223" s="7"/>
      <c r="O223" s="7"/>
    </row>
    <row r="224" spans="1:148" ht="18" customHeight="1" x14ac:dyDescent="0.25">
      <c r="A224" s="14">
        <v>405</v>
      </c>
      <c r="B224" s="20" t="s">
        <v>98</v>
      </c>
      <c r="C224" s="22"/>
      <c r="D224" s="211" t="s">
        <v>814</v>
      </c>
      <c r="E224" s="264"/>
      <c r="F224" s="213"/>
      <c r="G224" s="264">
        <v>250000</v>
      </c>
      <c r="H224" s="264">
        <v>150000</v>
      </c>
      <c r="I224" s="167">
        <v>150000</v>
      </c>
      <c r="J224" s="167"/>
      <c r="M224" s="7"/>
      <c r="N224" s="7"/>
      <c r="O224" s="7"/>
    </row>
    <row r="225" spans="1:148" ht="18" customHeight="1" x14ac:dyDescent="0.25">
      <c r="A225" s="17" t="s">
        <v>99</v>
      </c>
      <c r="B225" s="21" t="s">
        <v>31</v>
      </c>
      <c r="C225" s="19" t="s">
        <v>31</v>
      </c>
      <c r="D225" s="21" t="s">
        <v>31</v>
      </c>
      <c r="E225" s="168">
        <f>SUM(E216:E224)</f>
        <v>190172</v>
      </c>
      <c r="F225" s="166"/>
      <c r="G225" s="168">
        <f>SUM(G216:G224)</f>
        <v>378000</v>
      </c>
      <c r="H225" s="168">
        <f>SUM(H216:H224)</f>
        <v>273000</v>
      </c>
      <c r="I225" s="168">
        <f t="shared" ref="I225:J225" si="8">SUM(I216:I224)</f>
        <v>273000</v>
      </c>
      <c r="J225" s="168">
        <f t="shared" si="8"/>
        <v>0</v>
      </c>
      <c r="M225" s="7"/>
      <c r="N225" s="7"/>
      <c r="O225" s="7"/>
    </row>
    <row r="226" spans="1:148" ht="18" customHeight="1" x14ac:dyDescent="0.25">
      <c r="A226" s="14">
        <v>420</v>
      </c>
      <c r="B226" s="20" t="s">
        <v>100</v>
      </c>
      <c r="C226" s="22" t="s">
        <v>946</v>
      </c>
      <c r="D226" s="108" t="s">
        <v>947</v>
      </c>
      <c r="E226" s="167">
        <v>146915</v>
      </c>
      <c r="F226" s="166"/>
      <c r="G226" s="167">
        <v>149143</v>
      </c>
      <c r="H226" s="167">
        <v>149143</v>
      </c>
      <c r="I226" s="167">
        <v>149143</v>
      </c>
      <c r="J226" s="167"/>
      <c r="M226" s="7"/>
      <c r="N226" s="7"/>
      <c r="O226" s="7"/>
    </row>
    <row r="227" spans="1:148" ht="18" customHeight="1" x14ac:dyDescent="0.25">
      <c r="A227" s="14">
        <v>420</v>
      </c>
      <c r="B227" s="20" t="s">
        <v>100</v>
      </c>
      <c r="C227" s="22" t="s">
        <v>948</v>
      </c>
      <c r="D227" s="108" t="s">
        <v>270</v>
      </c>
      <c r="E227" s="167">
        <v>1700</v>
      </c>
      <c r="F227" s="166"/>
      <c r="G227" s="167">
        <v>1700</v>
      </c>
      <c r="H227" s="167">
        <v>1700</v>
      </c>
      <c r="I227" s="167">
        <v>1700</v>
      </c>
      <c r="J227" s="167"/>
      <c r="M227" s="7"/>
      <c r="N227" s="7"/>
      <c r="O227" s="7"/>
    </row>
    <row r="228" spans="1:148" ht="18" customHeight="1" x14ac:dyDescent="0.25">
      <c r="A228" s="14">
        <v>420</v>
      </c>
      <c r="B228" s="20" t="s">
        <v>100</v>
      </c>
      <c r="C228" s="22" t="s">
        <v>949</v>
      </c>
      <c r="D228" s="108" t="s">
        <v>271</v>
      </c>
      <c r="E228" s="167">
        <v>1200</v>
      </c>
      <c r="F228" s="166"/>
      <c r="G228" s="167">
        <v>1200</v>
      </c>
      <c r="H228" s="167">
        <v>1200</v>
      </c>
      <c r="I228" s="167">
        <v>1200</v>
      </c>
      <c r="J228" s="167"/>
      <c r="M228" s="7"/>
      <c r="N228" s="7"/>
      <c r="O228" s="7"/>
    </row>
    <row r="229" spans="1:148" s="10" customFormat="1" ht="18" customHeight="1" x14ac:dyDescent="0.25">
      <c r="A229" s="14">
        <v>420</v>
      </c>
      <c r="B229" s="20" t="s">
        <v>100</v>
      </c>
      <c r="C229" s="22" t="s">
        <v>950</v>
      </c>
      <c r="D229" s="108" t="s">
        <v>139</v>
      </c>
      <c r="E229" s="167">
        <v>1200</v>
      </c>
      <c r="F229" s="166"/>
      <c r="G229" s="167">
        <v>1164</v>
      </c>
      <c r="H229" s="167">
        <v>1164</v>
      </c>
      <c r="I229" s="167">
        <v>1164</v>
      </c>
      <c r="J229" s="167"/>
      <c r="K229" s="217"/>
      <c r="L229" s="8"/>
      <c r="M229" s="7"/>
      <c r="N229" s="7"/>
      <c r="O229" s="7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  <c r="CS229" s="8"/>
      <c r="CT229" s="8"/>
      <c r="CU229" s="8"/>
      <c r="CV229" s="8"/>
      <c r="CW229" s="8"/>
      <c r="CX229" s="8"/>
      <c r="CY229" s="8"/>
      <c r="CZ229" s="8"/>
      <c r="DA229" s="8"/>
      <c r="DB229" s="8"/>
      <c r="DC229" s="8"/>
      <c r="DD229" s="8"/>
      <c r="DE229" s="8"/>
      <c r="DF229" s="8"/>
      <c r="DG229" s="8"/>
      <c r="DH229" s="8"/>
      <c r="DI229" s="8"/>
      <c r="DJ229" s="8"/>
      <c r="DK229" s="8"/>
      <c r="DL229" s="8"/>
      <c r="DM229" s="8"/>
      <c r="DN229" s="8"/>
      <c r="DO229" s="8"/>
      <c r="DP229" s="8"/>
      <c r="DQ229" s="8"/>
      <c r="DR229" s="8"/>
      <c r="DS229" s="8"/>
      <c r="DT229" s="8"/>
      <c r="DU229" s="8"/>
      <c r="DV229" s="8"/>
      <c r="DW229" s="8"/>
      <c r="DX229" s="8"/>
      <c r="DY229" s="8"/>
      <c r="DZ229" s="8"/>
      <c r="EA229" s="8"/>
      <c r="EB229" s="8"/>
      <c r="EC229" s="8"/>
      <c r="ED229" s="8"/>
      <c r="EE229" s="8"/>
      <c r="EF229" s="8"/>
      <c r="EG229" s="8"/>
      <c r="EH229" s="8"/>
      <c r="EI229" s="8"/>
      <c r="EJ229" s="8"/>
      <c r="EK229" s="8"/>
      <c r="EL229" s="8"/>
      <c r="EM229" s="8"/>
      <c r="EN229" s="8"/>
      <c r="EO229" s="8"/>
      <c r="EP229" s="8"/>
      <c r="EQ229" s="8"/>
      <c r="ER229" s="8"/>
    </row>
    <row r="230" spans="1:148" ht="18" customHeight="1" x14ac:dyDescent="0.25">
      <c r="A230" s="14">
        <v>420</v>
      </c>
      <c r="B230" s="20" t="s">
        <v>100</v>
      </c>
      <c r="C230" s="22" t="s">
        <v>951</v>
      </c>
      <c r="D230" s="108" t="s">
        <v>272</v>
      </c>
      <c r="E230" s="167">
        <v>35079</v>
      </c>
      <c r="F230" s="166"/>
      <c r="G230" s="167">
        <v>43412</v>
      </c>
      <c r="H230" s="167">
        <v>43412</v>
      </c>
      <c r="I230" s="167">
        <v>43412</v>
      </c>
      <c r="J230" s="167"/>
      <c r="M230" s="7"/>
      <c r="N230" s="7"/>
      <c r="O230" s="7"/>
    </row>
    <row r="231" spans="1:148" ht="18" customHeight="1" x14ac:dyDescent="0.25">
      <c r="A231" s="14">
        <v>420</v>
      </c>
      <c r="B231" s="20" t="s">
        <v>100</v>
      </c>
      <c r="C231" s="22" t="s">
        <v>952</v>
      </c>
      <c r="D231" s="108" t="s">
        <v>273</v>
      </c>
      <c r="E231" s="167">
        <v>837</v>
      </c>
      <c r="F231" s="166"/>
      <c r="G231" s="167">
        <v>837</v>
      </c>
      <c r="H231" s="167">
        <v>837</v>
      </c>
      <c r="I231" s="167">
        <v>837</v>
      </c>
      <c r="J231" s="167"/>
      <c r="M231" s="7"/>
      <c r="N231" s="7"/>
      <c r="O231" s="7"/>
    </row>
    <row r="232" spans="1:148" ht="18" customHeight="1" x14ac:dyDescent="0.25">
      <c r="A232" s="14">
        <v>420</v>
      </c>
      <c r="B232" s="20" t="s">
        <v>100</v>
      </c>
      <c r="C232" s="22"/>
      <c r="D232" s="263" t="s">
        <v>482</v>
      </c>
      <c r="E232" s="212"/>
      <c r="F232" s="213"/>
      <c r="G232" s="212">
        <v>13000</v>
      </c>
      <c r="H232" s="264">
        <v>0</v>
      </c>
      <c r="I232" s="167">
        <v>0</v>
      </c>
      <c r="J232" s="167"/>
      <c r="M232" s="7"/>
      <c r="N232" s="7"/>
      <c r="O232" s="7"/>
    </row>
    <row r="233" spans="1:148" ht="18" customHeight="1" x14ac:dyDescent="0.25">
      <c r="A233" s="17" t="s">
        <v>101</v>
      </c>
      <c r="B233" s="21" t="s">
        <v>31</v>
      </c>
      <c r="C233" s="19" t="s">
        <v>31</v>
      </c>
      <c r="D233" s="21" t="s">
        <v>31</v>
      </c>
      <c r="E233" s="168">
        <f>SUM(E226:E232)</f>
        <v>186931</v>
      </c>
      <c r="F233" s="166"/>
      <c r="G233" s="168">
        <f>SUM(G226:G232)</f>
        <v>210456</v>
      </c>
      <c r="H233" s="168">
        <f>SUM(H226:H232)</f>
        <v>197456</v>
      </c>
      <c r="I233" s="168">
        <f>SUM(I226:I232)</f>
        <v>197456</v>
      </c>
      <c r="J233" s="168">
        <f>SUM(J226:J232)</f>
        <v>0</v>
      </c>
      <c r="M233" s="7"/>
      <c r="N233" s="7"/>
      <c r="O233" s="7"/>
    </row>
    <row r="234" spans="1:148" ht="18" customHeight="1" x14ac:dyDescent="0.25">
      <c r="A234" s="14">
        <v>450</v>
      </c>
      <c r="B234" s="20" t="s">
        <v>102</v>
      </c>
      <c r="C234" s="22" t="s">
        <v>938</v>
      </c>
      <c r="D234" s="108" t="s">
        <v>275</v>
      </c>
      <c r="E234" s="167">
        <v>145232</v>
      </c>
      <c r="F234" s="166"/>
      <c r="G234" s="167">
        <v>146913</v>
      </c>
      <c r="H234" s="167">
        <v>146913</v>
      </c>
      <c r="I234" s="167">
        <v>146913</v>
      </c>
      <c r="J234" s="167"/>
      <c r="M234" s="7"/>
      <c r="N234" s="7"/>
      <c r="O234" s="7"/>
    </row>
    <row r="235" spans="1:148" ht="18" customHeight="1" x14ac:dyDescent="0.25">
      <c r="A235" s="14">
        <v>450</v>
      </c>
      <c r="B235" s="20" t="s">
        <v>102</v>
      </c>
      <c r="C235" s="22" t="s">
        <v>939</v>
      </c>
      <c r="D235" s="108" t="s">
        <v>276</v>
      </c>
      <c r="E235" s="167">
        <v>2000</v>
      </c>
      <c r="F235" s="166"/>
      <c r="G235" s="167">
        <v>1000</v>
      </c>
      <c r="H235" s="167">
        <v>1000</v>
      </c>
      <c r="I235" s="167">
        <v>1000</v>
      </c>
      <c r="J235" s="167"/>
      <c r="M235" s="7"/>
      <c r="N235" s="7"/>
      <c r="O235" s="7"/>
    </row>
    <row r="236" spans="1:148" ht="18" customHeight="1" x14ac:dyDescent="0.25">
      <c r="A236" s="14">
        <v>450</v>
      </c>
      <c r="B236" s="20" t="s">
        <v>102</v>
      </c>
      <c r="C236" s="22" t="s">
        <v>940</v>
      </c>
      <c r="D236" s="108" t="s">
        <v>136</v>
      </c>
      <c r="E236" s="167">
        <v>1000</v>
      </c>
      <c r="F236" s="166"/>
      <c r="G236" s="167">
        <v>750</v>
      </c>
      <c r="H236" s="167">
        <v>750</v>
      </c>
      <c r="I236" s="167">
        <v>750</v>
      </c>
      <c r="J236" s="167"/>
      <c r="M236" s="7"/>
      <c r="N236" s="7"/>
      <c r="O236" s="7"/>
    </row>
    <row r="237" spans="1:148" ht="18" customHeight="1" x14ac:dyDescent="0.25">
      <c r="A237" s="14">
        <v>450</v>
      </c>
      <c r="B237" s="20" t="s">
        <v>102</v>
      </c>
      <c r="C237" s="22" t="s">
        <v>941</v>
      </c>
      <c r="D237" s="108" t="s">
        <v>265</v>
      </c>
      <c r="E237" s="167">
        <v>1000</v>
      </c>
      <c r="F237" s="166"/>
      <c r="G237" s="167">
        <v>1000</v>
      </c>
      <c r="H237" s="167">
        <v>1000</v>
      </c>
      <c r="I237" s="167">
        <v>1000</v>
      </c>
      <c r="J237" s="167"/>
      <c r="M237" s="7"/>
      <c r="N237" s="7"/>
      <c r="O237" s="7"/>
    </row>
    <row r="238" spans="1:148" ht="18" customHeight="1" x14ac:dyDescent="0.25">
      <c r="A238" s="14">
        <v>450</v>
      </c>
      <c r="B238" s="20" t="s">
        <v>102</v>
      </c>
      <c r="C238" s="22" t="s">
        <v>942</v>
      </c>
      <c r="D238" s="108" t="s">
        <v>260</v>
      </c>
      <c r="E238" s="167">
        <v>35000</v>
      </c>
      <c r="F238" s="166"/>
      <c r="G238" s="167">
        <v>33590</v>
      </c>
      <c r="H238" s="167">
        <v>33590</v>
      </c>
      <c r="I238" s="167">
        <v>33590</v>
      </c>
      <c r="J238" s="167"/>
      <c r="M238" s="7"/>
      <c r="N238" s="7"/>
      <c r="O238" s="7"/>
    </row>
    <row r="239" spans="1:148" s="10" customFormat="1" ht="18" customHeight="1" x14ac:dyDescent="0.25">
      <c r="A239" s="14">
        <v>450</v>
      </c>
      <c r="B239" s="20" t="s">
        <v>102</v>
      </c>
      <c r="C239" s="22" t="s">
        <v>943</v>
      </c>
      <c r="D239" s="108" t="s">
        <v>139</v>
      </c>
      <c r="E239" s="167">
        <v>800</v>
      </c>
      <c r="F239" s="166"/>
      <c r="G239" s="167">
        <v>700</v>
      </c>
      <c r="H239" s="167">
        <v>700</v>
      </c>
      <c r="I239" s="167">
        <v>700</v>
      </c>
      <c r="J239" s="167"/>
      <c r="K239" s="217"/>
      <c r="L239" s="8"/>
      <c r="M239" s="7"/>
      <c r="N239" s="7"/>
      <c r="O239" s="7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  <c r="CS239" s="8"/>
      <c r="CT239" s="8"/>
      <c r="CU239" s="8"/>
      <c r="CV239" s="8"/>
      <c r="CW239" s="8"/>
      <c r="CX239" s="8"/>
      <c r="CY239" s="8"/>
      <c r="CZ239" s="8"/>
      <c r="DA239" s="8"/>
      <c r="DB239" s="8"/>
      <c r="DC239" s="8"/>
      <c r="DD239" s="8"/>
      <c r="DE239" s="8"/>
      <c r="DF239" s="8"/>
      <c r="DG239" s="8"/>
      <c r="DH239" s="8"/>
      <c r="DI239" s="8"/>
      <c r="DJ239" s="8"/>
      <c r="DK239" s="8"/>
      <c r="DL239" s="8"/>
      <c r="DM239" s="8"/>
      <c r="DN239" s="8"/>
      <c r="DO239" s="8"/>
      <c r="DP239" s="8"/>
      <c r="DQ239" s="8"/>
      <c r="DR239" s="8"/>
      <c r="DS239" s="8"/>
      <c r="DT239" s="8"/>
      <c r="DU239" s="8"/>
      <c r="DV239" s="8"/>
      <c r="DW239" s="8"/>
      <c r="DX239" s="8"/>
      <c r="DY239" s="8"/>
      <c r="DZ239" s="8"/>
      <c r="EA239" s="8"/>
      <c r="EB239" s="8"/>
      <c r="EC239" s="8"/>
      <c r="ED239" s="8"/>
      <c r="EE239" s="8"/>
      <c r="EF239" s="8"/>
      <c r="EG239" s="8"/>
      <c r="EH239" s="8"/>
      <c r="EI239" s="8"/>
      <c r="EJ239" s="8"/>
      <c r="EK239" s="8"/>
      <c r="EL239" s="8"/>
      <c r="EM239" s="8"/>
      <c r="EN239" s="8"/>
      <c r="EO239" s="8"/>
      <c r="EP239" s="8"/>
      <c r="EQ239" s="8"/>
      <c r="ER239" s="8"/>
    </row>
    <row r="240" spans="1:148" ht="18" customHeight="1" x14ac:dyDescent="0.25">
      <c r="A240" s="14">
        <v>450</v>
      </c>
      <c r="B240" s="20" t="s">
        <v>102</v>
      </c>
      <c r="C240" s="22" t="s">
        <v>944</v>
      </c>
      <c r="D240" s="108" t="s">
        <v>277</v>
      </c>
      <c r="E240" s="167">
        <v>200</v>
      </c>
      <c r="F240" s="166"/>
      <c r="G240" s="167">
        <v>200</v>
      </c>
      <c r="H240" s="167">
        <v>200</v>
      </c>
      <c r="I240" s="167">
        <v>200</v>
      </c>
      <c r="J240" s="167"/>
      <c r="M240" s="7"/>
      <c r="N240" s="7"/>
      <c r="O240" s="7"/>
    </row>
    <row r="241" spans="1:148" ht="18" customHeight="1" x14ac:dyDescent="0.25">
      <c r="A241" s="14">
        <v>450</v>
      </c>
      <c r="B241" s="20" t="s">
        <v>102</v>
      </c>
      <c r="C241" s="22" t="s">
        <v>945</v>
      </c>
      <c r="D241" s="108" t="s">
        <v>278</v>
      </c>
      <c r="E241" s="167">
        <v>1200</v>
      </c>
      <c r="F241" s="166"/>
      <c r="G241" s="167">
        <v>1154</v>
      </c>
      <c r="H241" s="167">
        <v>1154</v>
      </c>
      <c r="I241" s="167">
        <v>1154</v>
      </c>
      <c r="J241" s="167"/>
      <c r="M241" s="7"/>
      <c r="N241" s="7"/>
      <c r="O241" s="7"/>
    </row>
    <row r="242" spans="1:148" ht="18" customHeight="1" x14ac:dyDescent="0.25">
      <c r="A242" s="17" t="s">
        <v>103</v>
      </c>
      <c r="B242" s="21" t="s">
        <v>31</v>
      </c>
      <c r="C242" s="19" t="s">
        <v>31</v>
      </c>
      <c r="D242" s="21" t="s">
        <v>31</v>
      </c>
      <c r="E242" s="168">
        <f>SUM(E234:E241)</f>
        <v>186432</v>
      </c>
      <c r="F242" s="166"/>
      <c r="G242" s="168">
        <f>SUM(G234:G241)</f>
        <v>185307</v>
      </c>
      <c r="H242" s="168">
        <f>SUM(H234:H241)</f>
        <v>185307</v>
      </c>
      <c r="I242" s="168">
        <f>SUM(I234:I241)</f>
        <v>185307</v>
      </c>
      <c r="J242" s="168">
        <f>SUM(J234:J241)</f>
        <v>0</v>
      </c>
      <c r="M242" s="7"/>
      <c r="N242" s="7"/>
      <c r="O242" s="7"/>
    </row>
    <row r="243" spans="1:148" ht="18" customHeight="1" x14ac:dyDescent="0.25">
      <c r="A243" s="14">
        <v>555</v>
      </c>
      <c r="B243" s="20" t="s">
        <v>104</v>
      </c>
      <c r="C243" s="22" t="s">
        <v>1152</v>
      </c>
      <c r="D243" s="108" t="s">
        <v>279</v>
      </c>
      <c r="E243" s="167">
        <v>1557279</v>
      </c>
      <c r="F243" s="166"/>
      <c r="G243" s="167">
        <v>1523370</v>
      </c>
      <c r="H243" s="171">
        <v>1523370</v>
      </c>
      <c r="I243" s="167">
        <v>1523370</v>
      </c>
      <c r="J243" s="167"/>
      <c r="M243" s="7"/>
      <c r="N243" s="7"/>
      <c r="O243" s="7"/>
    </row>
    <row r="244" spans="1:148" ht="18" customHeight="1" x14ac:dyDescent="0.25">
      <c r="A244" s="14">
        <v>555</v>
      </c>
      <c r="B244" s="20" t="s">
        <v>104</v>
      </c>
      <c r="C244" s="22" t="s">
        <v>1153</v>
      </c>
      <c r="D244" s="108" t="s">
        <v>280</v>
      </c>
      <c r="E244" s="167">
        <v>15000</v>
      </c>
      <c r="F244" s="166"/>
      <c r="G244" s="167">
        <v>15000</v>
      </c>
      <c r="H244" s="171">
        <v>15000</v>
      </c>
      <c r="I244" s="167">
        <v>15000</v>
      </c>
      <c r="J244" s="167"/>
      <c r="M244" s="7"/>
      <c r="N244" s="7"/>
      <c r="O244" s="7"/>
    </row>
    <row r="245" spans="1:148" ht="18" customHeight="1" x14ac:dyDescent="0.25">
      <c r="A245" s="14">
        <v>555</v>
      </c>
      <c r="B245" s="20" t="s">
        <v>104</v>
      </c>
      <c r="C245" s="22" t="s">
        <v>1154</v>
      </c>
      <c r="D245" s="108" t="s">
        <v>250</v>
      </c>
      <c r="E245" s="167">
        <v>150000</v>
      </c>
      <c r="F245" s="166"/>
      <c r="G245" s="167">
        <v>75000</v>
      </c>
      <c r="H245" s="171">
        <v>20000</v>
      </c>
      <c r="I245" s="167">
        <v>20000</v>
      </c>
      <c r="J245" s="167"/>
      <c r="M245" s="7"/>
      <c r="N245" s="7"/>
      <c r="O245" s="7"/>
    </row>
    <row r="246" spans="1:148" ht="18" customHeight="1" x14ac:dyDescent="0.25">
      <c r="A246" s="14">
        <v>555</v>
      </c>
      <c r="B246" s="20" t="s">
        <v>104</v>
      </c>
      <c r="C246" s="22" t="s">
        <v>1155</v>
      </c>
      <c r="D246" s="108" t="s">
        <v>1156</v>
      </c>
      <c r="E246" s="167"/>
      <c r="F246" s="166"/>
      <c r="G246" s="167">
        <v>75000</v>
      </c>
      <c r="H246" s="171">
        <v>100000</v>
      </c>
      <c r="I246" s="167">
        <v>100000</v>
      </c>
      <c r="J246" s="167"/>
      <c r="M246" s="7"/>
      <c r="N246" s="7"/>
      <c r="O246" s="7"/>
    </row>
    <row r="247" spans="1:148" s="10" customFormat="1" ht="18" customHeight="1" x14ac:dyDescent="0.25">
      <c r="A247" s="14">
        <v>555</v>
      </c>
      <c r="B247" s="20" t="s">
        <v>104</v>
      </c>
      <c r="C247" s="22" t="s">
        <v>1159</v>
      </c>
      <c r="D247" s="108" t="s">
        <v>281</v>
      </c>
      <c r="E247" s="167">
        <v>5000</v>
      </c>
      <c r="F247" s="166"/>
      <c r="G247" s="167">
        <v>5000</v>
      </c>
      <c r="H247" s="171">
        <v>5000</v>
      </c>
      <c r="I247" s="167">
        <v>5000</v>
      </c>
      <c r="J247" s="167"/>
      <c r="K247" s="217"/>
      <c r="L247" s="8"/>
      <c r="M247" s="7"/>
      <c r="N247" s="7"/>
      <c r="O247" s="7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  <c r="DH247" s="8"/>
      <c r="DI247" s="8"/>
      <c r="DJ247" s="8"/>
      <c r="DK247" s="8"/>
      <c r="DL247" s="8"/>
      <c r="DM247" s="8"/>
      <c r="DN247" s="8"/>
      <c r="DO247" s="8"/>
      <c r="DP247" s="8"/>
      <c r="DQ247" s="8"/>
      <c r="DR247" s="8"/>
      <c r="DS247" s="8"/>
      <c r="DT247" s="8"/>
      <c r="DU247" s="8"/>
      <c r="DV247" s="8"/>
      <c r="DW247" s="8"/>
      <c r="DX247" s="8"/>
      <c r="DY247" s="8"/>
      <c r="DZ247" s="8"/>
      <c r="EA247" s="8"/>
      <c r="EB247" s="8"/>
      <c r="EC247" s="8"/>
      <c r="ED247" s="8"/>
      <c r="EE247" s="8"/>
      <c r="EF247" s="8"/>
      <c r="EG247" s="8"/>
      <c r="EH247" s="8"/>
      <c r="EI247" s="8"/>
      <c r="EJ247" s="8"/>
      <c r="EK247" s="8"/>
      <c r="EL247" s="8"/>
      <c r="EM247" s="8"/>
      <c r="EN247" s="8"/>
      <c r="EO247" s="8"/>
      <c r="EP247" s="8"/>
      <c r="EQ247" s="8"/>
      <c r="ER247" s="8"/>
    </row>
    <row r="248" spans="1:148" ht="18" customHeight="1" x14ac:dyDescent="0.25">
      <c r="A248" s="14">
        <v>555</v>
      </c>
      <c r="B248" s="20" t="s">
        <v>104</v>
      </c>
      <c r="C248" s="22" t="s">
        <v>1164</v>
      </c>
      <c r="D248" s="108" t="s">
        <v>286</v>
      </c>
      <c r="E248" s="167">
        <v>75000</v>
      </c>
      <c r="F248" s="166"/>
      <c r="G248" s="167">
        <v>75000</v>
      </c>
      <c r="H248" s="171">
        <v>75000</v>
      </c>
      <c r="I248" s="167">
        <v>75000</v>
      </c>
      <c r="J248" s="167"/>
      <c r="M248" s="7"/>
      <c r="N248" s="7"/>
      <c r="O248" s="7"/>
    </row>
    <row r="249" spans="1:148" ht="18" customHeight="1" x14ac:dyDescent="0.25">
      <c r="A249" s="14">
        <v>555</v>
      </c>
      <c r="B249" s="20" t="s">
        <v>104</v>
      </c>
      <c r="C249" s="22" t="s">
        <v>1165</v>
      </c>
      <c r="D249" s="108" t="s">
        <v>287</v>
      </c>
      <c r="E249" s="167">
        <v>20000</v>
      </c>
      <c r="F249" s="166"/>
      <c r="G249" s="167">
        <v>20000</v>
      </c>
      <c r="H249" s="171">
        <v>20000</v>
      </c>
      <c r="I249" s="167">
        <v>20000</v>
      </c>
      <c r="J249" s="167"/>
      <c r="M249" s="7"/>
      <c r="N249" s="7"/>
      <c r="O249" s="7"/>
    </row>
    <row r="250" spans="1:148" ht="18" customHeight="1" x14ac:dyDescent="0.25">
      <c r="A250" s="14">
        <v>555</v>
      </c>
      <c r="B250" s="20" t="s">
        <v>104</v>
      </c>
      <c r="C250" s="22" t="s">
        <v>1166</v>
      </c>
      <c r="D250" s="108" t="s">
        <v>288</v>
      </c>
      <c r="E250" s="167">
        <v>10000</v>
      </c>
      <c r="F250" s="166"/>
      <c r="G250" s="167">
        <v>10000</v>
      </c>
      <c r="H250" s="171">
        <v>10000</v>
      </c>
      <c r="I250" s="167">
        <v>10000</v>
      </c>
      <c r="J250" s="167"/>
      <c r="M250" s="7"/>
      <c r="N250" s="7"/>
      <c r="O250" s="7"/>
    </row>
    <row r="251" spans="1:148" ht="18" customHeight="1" x14ac:dyDescent="0.25">
      <c r="A251" s="14">
        <v>555</v>
      </c>
      <c r="B251" s="20" t="s">
        <v>104</v>
      </c>
      <c r="C251" s="22" t="s">
        <v>1168</v>
      </c>
      <c r="D251" s="108" t="s">
        <v>290</v>
      </c>
      <c r="E251" s="167">
        <v>20000</v>
      </c>
      <c r="F251" s="166"/>
      <c r="G251" s="167">
        <v>20000</v>
      </c>
      <c r="H251" s="171">
        <v>20000</v>
      </c>
      <c r="I251" s="167">
        <v>20000</v>
      </c>
      <c r="J251" s="167"/>
      <c r="M251" s="7"/>
      <c r="N251" s="7"/>
      <c r="O251" s="7"/>
    </row>
    <row r="252" spans="1:148" ht="18" customHeight="1" x14ac:dyDescent="0.25">
      <c r="A252" s="14">
        <v>555</v>
      </c>
      <c r="B252" s="20" t="s">
        <v>104</v>
      </c>
      <c r="C252" s="22" t="s">
        <v>1169</v>
      </c>
      <c r="D252" s="108" t="s">
        <v>291</v>
      </c>
      <c r="E252" s="167">
        <v>70000</v>
      </c>
      <c r="F252" s="166"/>
      <c r="G252" s="167">
        <v>70000</v>
      </c>
      <c r="H252" s="171">
        <v>70000</v>
      </c>
      <c r="I252" s="167">
        <v>70000</v>
      </c>
      <c r="J252" s="167"/>
      <c r="M252" s="7"/>
      <c r="N252" s="7"/>
      <c r="O252" s="7"/>
    </row>
    <row r="253" spans="1:148" s="10" customFormat="1" ht="18" customHeight="1" x14ac:dyDescent="0.25">
      <c r="A253" s="14">
        <v>555</v>
      </c>
      <c r="B253" s="20" t="s">
        <v>104</v>
      </c>
      <c r="C253" s="22" t="s">
        <v>1170</v>
      </c>
      <c r="D253" s="108" t="s">
        <v>292</v>
      </c>
      <c r="E253" s="167">
        <v>115000</v>
      </c>
      <c r="F253" s="166"/>
      <c r="G253" s="167">
        <v>115000</v>
      </c>
      <c r="H253" s="171">
        <v>114000</v>
      </c>
      <c r="I253" s="167">
        <v>114000</v>
      </c>
      <c r="J253" s="167"/>
      <c r="K253" s="217"/>
      <c r="L253" s="8"/>
      <c r="M253" s="7"/>
      <c r="N253" s="7"/>
      <c r="O253" s="7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  <c r="DH253" s="8"/>
      <c r="DI253" s="8"/>
      <c r="DJ253" s="8"/>
      <c r="DK253" s="8"/>
      <c r="DL253" s="8"/>
      <c r="DM253" s="8"/>
      <c r="DN253" s="8"/>
      <c r="DO253" s="8"/>
      <c r="DP253" s="8"/>
      <c r="DQ253" s="8"/>
      <c r="DR253" s="8"/>
      <c r="DS253" s="8"/>
      <c r="DT253" s="8"/>
      <c r="DU253" s="8"/>
      <c r="DV253" s="8"/>
      <c r="DW253" s="8"/>
      <c r="DX253" s="8"/>
      <c r="DY253" s="8"/>
      <c r="DZ253" s="8"/>
      <c r="EA253" s="8"/>
      <c r="EB253" s="8"/>
      <c r="EC253" s="8"/>
      <c r="ED253" s="8"/>
      <c r="EE253" s="8"/>
      <c r="EF253" s="8"/>
      <c r="EG253" s="8"/>
      <c r="EH253" s="8"/>
      <c r="EI253" s="8"/>
      <c r="EJ253" s="8"/>
      <c r="EK253" s="8"/>
      <c r="EL253" s="8"/>
      <c r="EM253" s="8"/>
      <c r="EN253" s="8"/>
      <c r="EO253" s="8"/>
      <c r="EP253" s="8"/>
      <c r="EQ253" s="8"/>
      <c r="ER253" s="8"/>
    </row>
    <row r="254" spans="1:148" ht="18" customHeight="1" x14ac:dyDescent="0.25">
      <c r="A254" s="14">
        <v>555</v>
      </c>
      <c r="B254" s="20" t="s">
        <v>104</v>
      </c>
      <c r="C254" s="22" t="s">
        <v>1171</v>
      </c>
      <c r="D254" s="108" t="s">
        <v>293</v>
      </c>
      <c r="E254" s="167">
        <v>40000</v>
      </c>
      <c r="F254" s="166"/>
      <c r="G254" s="167">
        <v>40000</v>
      </c>
      <c r="H254" s="171">
        <v>40000</v>
      </c>
      <c r="I254" s="167">
        <v>40000</v>
      </c>
      <c r="J254" s="167"/>
      <c r="M254" s="7"/>
      <c r="N254" s="7"/>
      <c r="O254" s="7"/>
    </row>
    <row r="255" spans="1:148" ht="18" customHeight="1" x14ac:dyDescent="0.25">
      <c r="A255" s="14">
        <v>555</v>
      </c>
      <c r="B255" s="20" t="s">
        <v>104</v>
      </c>
      <c r="C255" s="22" t="s">
        <v>1173</v>
      </c>
      <c r="D255" s="108" t="s">
        <v>295</v>
      </c>
      <c r="E255" s="167">
        <v>20000</v>
      </c>
      <c r="F255" s="166"/>
      <c r="G255" s="167">
        <v>20000</v>
      </c>
      <c r="H255" s="171">
        <v>20000</v>
      </c>
      <c r="I255" s="167">
        <v>20000</v>
      </c>
      <c r="J255" s="167"/>
      <c r="M255" s="7"/>
      <c r="N255" s="7"/>
      <c r="O255" s="7"/>
    </row>
    <row r="256" spans="1:148" ht="18" customHeight="1" x14ac:dyDescent="0.25">
      <c r="A256" s="14">
        <v>555</v>
      </c>
      <c r="B256" s="20" t="s">
        <v>104</v>
      </c>
      <c r="C256" s="22" t="s">
        <v>1174</v>
      </c>
      <c r="D256" s="108" t="s">
        <v>296</v>
      </c>
      <c r="E256" s="167">
        <v>5000</v>
      </c>
      <c r="F256" s="166"/>
      <c r="G256" s="167">
        <v>5000</v>
      </c>
      <c r="H256" s="171">
        <v>5000</v>
      </c>
      <c r="I256" s="167">
        <v>5000</v>
      </c>
      <c r="J256" s="167"/>
      <c r="M256" s="7"/>
      <c r="N256" s="7"/>
      <c r="O256" s="7"/>
    </row>
    <row r="257" spans="1:148" ht="18" customHeight="1" x14ac:dyDescent="0.25">
      <c r="A257" s="14">
        <v>555</v>
      </c>
      <c r="B257" s="20" t="s">
        <v>104</v>
      </c>
      <c r="C257" s="22" t="s">
        <v>1175</v>
      </c>
      <c r="D257" s="108" t="s">
        <v>297</v>
      </c>
      <c r="E257" s="167">
        <v>30000</v>
      </c>
      <c r="F257" s="166"/>
      <c r="G257" s="167">
        <v>30000</v>
      </c>
      <c r="H257" s="171">
        <v>30000</v>
      </c>
      <c r="I257" s="167">
        <v>30000</v>
      </c>
      <c r="J257" s="167"/>
      <c r="M257" s="7"/>
      <c r="N257" s="7"/>
      <c r="O257" s="7"/>
    </row>
    <row r="258" spans="1:148" ht="18" customHeight="1" x14ac:dyDescent="0.25">
      <c r="A258" s="14">
        <v>555</v>
      </c>
      <c r="B258" s="20" t="s">
        <v>104</v>
      </c>
      <c r="C258" s="22" t="s">
        <v>1176</v>
      </c>
      <c r="D258" s="108" t="s">
        <v>298</v>
      </c>
      <c r="E258" s="167">
        <v>25000</v>
      </c>
      <c r="F258" s="166"/>
      <c r="G258" s="167">
        <v>25000</v>
      </c>
      <c r="H258" s="171">
        <v>25000</v>
      </c>
      <c r="I258" s="167">
        <v>25000</v>
      </c>
      <c r="J258" s="167"/>
      <c r="M258" s="7"/>
      <c r="N258" s="7"/>
      <c r="O258" s="7"/>
    </row>
    <row r="259" spans="1:148" ht="18" customHeight="1" x14ac:dyDescent="0.25">
      <c r="A259" s="14">
        <v>555</v>
      </c>
      <c r="B259" s="20" t="s">
        <v>104</v>
      </c>
      <c r="C259" s="22" t="s">
        <v>1177</v>
      </c>
      <c r="D259" s="108" t="s">
        <v>299</v>
      </c>
      <c r="E259" s="167">
        <v>5000</v>
      </c>
      <c r="F259" s="166"/>
      <c r="G259" s="167">
        <v>5000</v>
      </c>
      <c r="H259" s="171">
        <v>5000</v>
      </c>
      <c r="I259" s="167">
        <v>5000</v>
      </c>
      <c r="J259" s="167"/>
      <c r="M259" s="7"/>
      <c r="N259" s="7"/>
      <c r="O259" s="7"/>
    </row>
    <row r="260" spans="1:148" s="10" customFormat="1" ht="18" customHeight="1" x14ac:dyDescent="0.25">
      <c r="A260" s="17" t="str">
        <f>'[1]EXPENSE 20-21'!A356</f>
        <v>555 Total</v>
      </c>
      <c r="B260" s="21" t="s">
        <v>31</v>
      </c>
      <c r="C260" s="19" t="s">
        <v>31</v>
      </c>
      <c r="D260" s="21" t="s">
        <v>31</v>
      </c>
      <c r="E260" s="168">
        <f>SUM(E243:E259)</f>
        <v>2162279</v>
      </c>
      <c r="F260" s="166"/>
      <c r="G260" s="168">
        <f>SUM(G243:G259)</f>
        <v>2128370</v>
      </c>
      <c r="H260" s="168">
        <f>SUM(H243:H259)</f>
        <v>2097370</v>
      </c>
      <c r="I260" s="168">
        <f>SUM(I243:I259)</f>
        <v>2097370</v>
      </c>
      <c r="J260" s="168">
        <f>SUM(J243:J259)</f>
        <v>0</v>
      </c>
      <c r="K260" s="217"/>
      <c r="L260" s="8"/>
      <c r="M260" s="7"/>
      <c r="N260" s="7"/>
      <c r="O260" s="7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  <c r="CF260" s="8"/>
      <c r="CG260" s="8"/>
      <c r="CH260" s="8"/>
      <c r="CI260" s="8"/>
      <c r="CJ260" s="8"/>
      <c r="CK260" s="8"/>
      <c r="CL260" s="8"/>
      <c r="CM260" s="8"/>
      <c r="CN260" s="8"/>
      <c r="CO260" s="8"/>
      <c r="CP260" s="8"/>
      <c r="CQ260" s="8"/>
      <c r="CR260" s="8"/>
      <c r="CS260" s="8"/>
      <c r="CT260" s="8"/>
      <c r="CU260" s="8"/>
      <c r="CV260" s="8"/>
      <c r="CW260" s="8"/>
      <c r="CX260" s="8"/>
      <c r="CY260" s="8"/>
      <c r="CZ260" s="8"/>
      <c r="DA260" s="8"/>
      <c r="DB260" s="8"/>
      <c r="DC260" s="8"/>
      <c r="DD260" s="8"/>
      <c r="DE260" s="8"/>
      <c r="DF260" s="8"/>
      <c r="DG260" s="8"/>
      <c r="DH260" s="8"/>
      <c r="DI260" s="8"/>
      <c r="DJ260" s="8"/>
      <c r="DK260" s="8"/>
      <c r="DL260" s="8"/>
      <c r="DM260" s="8"/>
      <c r="DN260" s="8"/>
      <c r="DO260" s="8"/>
      <c r="DP260" s="8"/>
      <c r="DQ260" s="8"/>
      <c r="DR260" s="8"/>
      <c r="DS260" s="8"/>
      <c r="DT260" s="8"/>
      <c r="DU260" s="8"/>
      <c r="DV260" s="8"/>
      <c r="DW260" s="8"/>
      <c r="DX260" s="8"/>
      <c r="DY260" s="8"/>
      <c r="DZ260" s="8"/>
      <c r="EA260" s="8"/>
      <c r="EB260" s="8"/>
      <c r="EC260" s="8"/>
      <c r="ED260" s="8"/>
      <c r="EE260" s="8"/>
      <c r="EF260" s="8"/>
      <c r="EG260" s="8"/>
      <c r="EH260" s="8"/>
      <c r="EI260" s="8"/>
      <c r="EJ260" s="8"/>
      <c r="EK260" s="8"/>
      <c r="EL260" s="8"/>
      <c r="EM260" s="8"/>
      <c r="EN260" s="8"/>
      <c r="EO260" s="8"/>
      <c r="EP260" s="8"/>
      <c r="EQ260" s="8"/>
      <c r="ER260" s="8"/>
    </row>
    <row r="261" spans="1:148" ht="18" customHeight="1" x14ac:dyDescent="0.25">
      <c r="A261" s="14">
        <v>557</v>
      </c>
      <c r="B261" s="20" t="s">
        <v>55</v>
      </c>
      <c r="C261" s="262" t="s">
        <v>1160</v>
      </c>
      <c r="D261" s="211" t="s">
        <v>282</v>
      </c>
      <c r="E261" s="212">
        <v>520000</v>
      </c>
      <c r="F261" s="213"/>
      <c r="G261" s="212">
        <v>520000</v>
      </c>
      <c r="H261" s="264">
        <f>+(G261*1.035)</f>
        <v>538200</v>
      </c>
      <c r="I261" s="167">
        <v>538200</v>
      </c>
      <c r="J261" s="167"/>
      <c r="M261" s="7"/>
      <c r="N261" s="7"/>
      <c r="O261" s="7"/>
    </row>
    <row r="262" spans="1:148" ht="18" customHeight="1" x14ac:dyDescent="0.25">
      <c r="A262" s="14"/>
      <c r="B262" s="20"/>
      <c r="C262" s="262" t="s">
        <v>1161</v>
      </c>
      <c r="D262" s="211" t="s">
        <v>283</v>
      </c>
      <c r="E262" s="212">
        <v>300000</v>
      </c>
      <c r="F262" s="213"/>
      <c r="G262" s="212">
        <v>300000</v>
      </c>
      <c r="H262" s="264">
        <f t="shared" ref="H262:H263" si="9">+(G262*1.035)</f>
        <v>310500</v>
      </c>
      <c r="I262" s="167">
        <v>310500</v>
      </c>
      <c r="J262" s="167"/>
      <c r="M262" s="7"/>
      <c r="N262" s="7"/>
      <c r="O262" s="7"/>
    </row>
    <row r="263" spans="1:148" ht="18" customHeight="1" x14ac:dyDescent="0.25">
      <c r="A263" s="14"/>
      <c r="B263" s="20"/>
      <c r="C263" s="262" t="s">
        <v>1162</v>
      </c>
      <c r="D263" s="211" t="s">
        <v>284</v>
      </c>
      <c r="E263" s="212">
        <v>800000</v>
      </c>
      <c r="F263" s="213"/>
      <c r="G263" s="212">
        <v>800000</v>
      </c>
      <c r="H263" s="264">
        <f t="shared" si="9"/>
        <v>827999.99999999988</v>
      </c>
      <c r="I263" s="167">
        <v>827999.99999999988</v>
      </c>
      <c r="J263" s="167"/>
      <c r="M263" s="7"/>
      <c r="N263" s="7"/>
      <c r="O263" s="7"/>
    </row>
    <row r="264" spans="1:148" ht="18" customHeight="1" x14ac:dyDescent="0.25">
      <c r="A264" s="17" t="s">
        <v>52</v>
      </c>
      <c r="B264" s="21"/>
      <c r="C264" s="266"/>
      <c r="D264" s="272"/>
      <c r="E264" s="268">
        <f>SUM(E261:E263)</f>
        <v>1620000</v>
      </c>
      <c r="F264" s="213"/>
      <c r="G264" s="268">
        <f>SUM(G261:G263)</f>
        <v>1620000</v>
      </c>
      <c r="H264" s="268">
        <f>SUM(H261:H263)</f>
        <v>1676700</v>
      </c>
      <c r="I264" s="168">
        <f t="shared" ref="I264:J264" si="10">SUM(I261:I263)</f>
        <v>1676700</v>
      </c>
      <c r="J264" s="168">
        <f t="shared" si="10"/>
        <v>0</v>
      </c>
      <c r="M264" s="7"/>
      <c r="N264" s="7"/>
      <c r="O264" s="7"/>
    </row>
    <row r="265" spans="1:148" ht="18" customHeight="1" x14ac:dyDescent="0.25">
      <c r="A265" s="14">
        <v>558</v>
      </c>
      <c r="B265" s="20" t="s">
        <v>53</v>
      </c>
      <c r="C265" s="273"/>
      <c r="D265" s="274"/>
      <c r="E265" s="212"/>
      <c r="F265" s="213"/>
      <c r="G265" s="212">
        <v>252000</v>
      </c>
      <c r="H265" s="264">
        <v>248000</v>
      </c>
      <c r="I265" s="167">
        <v>248000</v>
      </c>
      <c r="J265" s="167"/>
      <c r="M265" s="7"/>
      <c r="N265" s="7"/>
      <c r="O265" s="7"/>
    </row>
    <row r="266" spans="1:148" ht="18" customHeight="1" x14ac:dyDescent="0.25">
      <c r="A266" s="17" t="s">
        <v>54</v>
      </c>
      <c r="B266" s="21"/>
      <c r="C266" s="266"/>
      <c r="D266" s="272"/>
      <c r="E266" s="268">
        <f>SUM(E265)</f>
        <v>0</v>
      </c>
      <c r="F266" s="213"/>
      <c r="G266" s="268">
        <f t="shared" ref="G266:J266" si="11">SUM(G265)</f>
        <v>252000</v>
      </c>
      <c r="H266" s="268">
        <f>SUM(H265)</f>
        <v>248000</v>
      </c>
      <c r="I266" s="168">
        <f t="shared" si="11"/>
        <v>248000</v>
      </c>
      <c r="J266" s="168">
        <f t="shared" si="11"/>
        <v>0</v>
      </c>
      <c r="M266" s="7"/>
      <c r="N266" s="7"/>
      <c r="O266" s="7"/>
    </row>
    <row r="267" spans="1:148" ht="18" customHeight="1" x14ac:dyDescent="0.25">
      <c r="A267" s="14">
        <v>559</v>
      </c>
      <c r="B267" s="20" t="s">
        <v>49</v>
      </c>
      <c r="C267" s="262" t="s">
        <v>1163</v>
      </c>
      <c r="D267" s="211" t="s">
        <v>285</v>
      </c>
      <c r="E267" s="264">
        <v>90000</v>
      </c>
      <c r="F267" s="213"/>
      <c r="G267" s="264">
        <v>90000</v>
      </c>
      <c r="H267" s="264">
        <v>90000</v>
      </c>
      <c r="I267" s="167">
        <v>90000</v>
      </c>
      <c r="J267" s="167"/>
      <c r="M267" s="7"/>
      <c r="N267" s="7"/>
      <c r="O267" s="7"/>
    </row>
    <row r="268" spans="1:148" ht="18" customHeight="1" x14ac:dyDescent="0.25">
      <c r="A268" s="14"/>
      <c r="B268" s="20"/>
      <c r="C268" s="262" t="s">
        <v>1167</v>
      </c>
      <c r="D268" s="211" t="s">
        <v>289</v>
      </c>
      <c r="E268" s="264">
        <v>60000</v>
      </c>
      <c r="F268" s="213"/>
      <c r="G268" s="264">
        <v>60000</v>
      </c>
      <c r="H268" s="264">
        <v>60000</v>
      </c>
      <c r="I268" s="167">
        <v>60000</v>
      </c>
      <c r="J268" s="167"/>
      <c r="M268" s="7"/>
      <c r="N268" s="7"/>
      <c r="O268" s="7"/>
    </row>
    <row r="269" spans="1:148" ht="18" customHeight="1" x14ac:dyDescent="0.25">
      <c r="A269" s="14"/>
      <c r="B269" s="20"/>
      <c r="C269" s="262" t="s">
        <v>1172</v>
      </c>
      <c r="D269" s="211" t="s">
        <v>294</v>
      </c>
      <c r="E269" s="264">
        <v>28000</v>
      </c>
      <c r="F269" s="213"/>
      <c r="G269" s="264">
        <v>28000</v>
      </c>
      <c r="H269" s="264">
        <v>28000</v>
      </c>
      <c r="I269" s="167">
        <v>28000</v>
      </c>
      <c r="J269" s="167"/>
      <c r="M269" s="7"/>
      <c r="N269" s="7"/>
      <c r="O269" s="7"/>
    </row>
    <row r="270" spans="1:148" ht="18" customHeight="1" x14ac:dyDescent="0.25">
      <c r="A270" s="17" t="s">
        <v>56</v>
      </c>
      <c r="B270" s="21"/>
      <c r="C270" s="266"/>
      <c r="D270" s="272"/>
      <c r="E270" s="268">
        <f>SUM(E267:E269)</f>
        <v>178000</v>
      </c>
      <c r="F270" s="213"/>
      <c r="G270" s="268">
        <f>SUM(G267:G269)</f>
        <v>178000</v>
      </c>
      <c r="H270" s="268">
        <f>SUM(H267:H269)</f>
        <v>178000</v>
      </c>
      <c r="I270" s="168">
        <f t="shared" ref="I270:J270" si="12">SUM(I267:I269)</f>
        <v>178000</v>
      </c>
      <c r="J270" s="168">
        <f t="shared" si="12"/>
        <v>0</v>
      </c>
      <c r="M270" s="7"/>
      <c r="N270" s="7"/>
      <c r="O270" s="7"/>
    </row>
    <row r="271" spans="1:148" ht="18" customHeight="1" x14ac:dyDescent="0.25">
      <c r="A271" s="14">
        <v>560</v>
      </c>
      <c r="B271" s="20" t="s">
        <v>74</v>
      </c>
      <c r="C271" s="262" t="s">
        <v>1023</v>
      </c>
      <c r="D271" s="263" t="s">
        <v>363</v>
      </c>
      <c r="E271" s="212">
        <v>575000</v>
      </c>
      <c r="F271" s="213"/>
      <c r="G271" s="212">
        <v>306000</v>
      </c>
      <c r="H271" s="264">
        <v>85000</v>
      </c>
      <c r="I271" s="167">
        <v>85000</v>
      </c>
      <c r="J271" s="167"/>
      <c r="M271" s="7"/>
      <c r="N271" s="7"/>
      <c r="O271" s="7"/>
    </row>
    <row r="272" spans="1:148" ht="18" customHeight="1" x14ac:dyDescent="0.25">
      <c r="A272" s="14"/>
      <c r="B272" s="20"/>
      <c r="C272" s="262" t="s">
        <v>1024</v>
      </c>
      <c r="D272" s="263" t="s">
        <v>364</v>
      </c>
      <c r="E272" s="212">
        <v>390000</v>
      </c>
      <c r="F272" s="213"/>
      <c r="G272" s="212">
        <v>390000</v>
      </c>
      <c r="H272" s="264">
        <v>380000</v>
      </c>
      <c r="I272" s="167">
        <v>380000</v>
      </c>
      <c r="J272" s="167"/>
      <c r="M272" s="7"/>
      <c r="N272" s="7"/>
      <c r="O272" s="7"/>
    </row>
    <row r="273" spans="1:148" ht="18" customHeight="1" x14ac:dyDescent="0.25">
      <c r="A273" s="14"/>
      <c r="B273" s="20"/>
      <c r="C273" s="262" t="s">
        <v>1025</v>
      </c>
      <c r="D273" s="263" t="s">
        <v>365</v>
      </c>
      <c r="E273" s="212">
        <v>85000</v>
      </c>
      <c r="F273" s="213"/>
      <c r="G273" s="212">
        <v>85000</v>
      </c>
      <c r="H273" s="264">
        <v>80000</v>
      </c>
      <c r="I273" s="167">
        <v>80000</v>
      </c>
      <c r="J273" s="167"/>
      <c r="M273" s="7"/>
      <c r="N273" s="7"/>
      <c r="O273" s="7"/>
    </row>
    <row r="274" spans="1:148" ht="18" customHeight="1" x14ac:dyDescent="0.25">
      <c r="A274" s="14"/>
      <c r="B274" s="20"/>
      <c r="C274" s="262" t="s">
        <v>1026</v>
      </c>
      <c r="D274" s="263" t="s">
        <v>366</v>
      </c>
      <c r="E274" s="212">
        <v>15000</v>
      </c>
      <c r="F274" s="213"/>
      <c r="G274" s="212">
        <v>15000</v>
      </c>
      <c r="H274" s="264">
        <v>15000</v>
      </c>
      <c r="I274" s="167">
        <v>15000</v>
      </c>
      <c r="J274" s="167"/>
      <c r="M274" s="7"/>
      <c r="N274" s="7"/>
      <c r="O274" s="7"/>
    </row>
    <row r="275" spans="1:148" ht="18" customHeight="1" x14ac:dyDescent="0.25">
      <c r="A275" s="17" t="s">
        <v>75</v>
      </c>
      <c r="B275" s="21"/>
      <c r="C275" s="19"/>
      <c r="D275" s="21"/>
      <c r="E275" s="168">
        <f>SUM(E271:E274)</f>
        <v>1065000</v>
      </c>
      <c r="F275" s="166"/>
      <c r="G275" s="168">
        <f>SUM(G271:G274)</f>
        <v>796000</v>
      </c>
      <c r="H275" s="168">
        <f>SUM(H271:H274)</f>
        <v>560000</v>
      </c>
      <c r="I275" s="168">
        <f t="shared" ref="I275:J275" si="13">SUM(I271:I274)</f>
        <v>560000</v>
      </c>
      <c r="J275" s="168">
        <f t="shared" si="13"/>
        <v>0</v>
      </c>
      <c r="M275" s="7"/>
      <c r="N275" s="7"/>
      <c r="O275" s="7"/>
    </row>
    <row r="276" spans="1:148" ht="18" customHeight="1" x14ac:dyDescent="0.25">
      <c r="A276" s="14">
        <v>601</v>
      </c>
      <c r="B276" s="20" t="s">
        <v>105</v>
      </c>
      <c r="C276" s="22" t="s">
        <v>1178</v>
      </c>
      <c r="D276" s="108" t="s">
        <v>300</v>
      </c>
      <c r="E276" s="167">
        <v>407610</v>
      </c>
      <c r="F276" s="166"/>
      <c r="G276" s="167">
        <v>355547</v>
      </c>
      <c r="H276" s="171">
        <v>355547</v>
      </c>
      <c r="I276" s="167">
        <v>355547</v>
      </c>
      <c r="J276" s="167"/>
      <c r="M276" s="7"/>
      <c r="N276" s="7"/>
      <c r="O276" s="7"/>
    </row>
    <row r="277" spans="1:148" ht="18" customHeight="1" x14ac:dyDescent="0.25">
      <c r="A277" s="14">
        <v>601</v>
      </c>
      <c r="B277" s="20" t="s">
        <v>105</v>
      </c>
      <c r="C277" s="22" t="s">
        <v>1179</v>
      </c>
      <c r="D277" s="108" t="s">
        <v>301</v>
      </c>
      <c r="E277" s="167">
        <v>5595</v>
      </c>
      <c r="F277" s="166"/>
      <c r="G277" s="167">
        <v>5594.2</v>
      </c>
      <c r="H277" s="171">
        <v>5594.2</v>
      </c>
      <c r="I277" s="167">
        <v>5594.2</v>
      </c>
      <c r="J277" s="167"/>
      <c r="M277" s="7"/>
      <c r="N277" s="7"/>
      <c r="O277" s="7"/>
    </row>
    <row r="278" spans="1:148" ht="18" customHeight="1" x14ac:dyDescent="0.25">
      <c r="A278" s="14">
        <v>601</v>
      </c>
      <c r="B278" s="20" t="s">
        <v>105</v>
      </c>
      <c r="C278" s="22" t="s">
        <v>1180</v>
      </c>
      <c r="D278" s="108" t="s">
        <v>302</v>
      </c>
      <c r="E278" s="167">
        <v>7080</v>
      </c>
      <c r="F278" s="166"/>
      <c r="G278" s="167">
        <v>7942.75</v>
      </c>
      <c r="H278" s="171">
        <v>7942.75</v>
      </c>
      <c r="I278" s="167">
        <v>7942.75</v>
      </c>
      <c r="J278" s="167"/>
      <c r="M278" s="7"/>
      <c r="N278" s="7"/>
      <c r="O278" s="7"/>
    </row>
    <row r="279" spans="1:148" ht="18" customHeight="1" x14ac:dyDescent="0.25">
      <c r="A279" s="14">
        <v>601</v>
      </c>
      <c r="B279" s="20" t="s">
        <v>105</v>
      </c>
      <c r="C279" s="22" t="s">
        <v>1181</v>
      </c>
      <c r="D279" s="108" t="s">
        <v>303</v>
      </c>
      <c r="E279" s="167">
        <v>4733</v>
      </c>
      <c r="F279" s="166"/>
      <c r="G279" s="167">
        <v>8938</v>
      </c>
      <c r="H279" s="171">
        <v>4800</v>
      </c>
      <c r="I279" s="167">
        <v>4800</v>
      </c>
      <c r="J279" s="167"/>
      <c r="M279" s="7"/>
      <c r="N279" s="7"/>
      <c r="O279" s="7"/>
    </row>
    <row r="280" spans="1:148" ht="18" customHeight="1" x14ac:dyDescent="0.25">
      <c r="A280" s="14">
        <v>601</v>
      </c>
      <c r="B280" s="20" t="s">
        <v>105</v>
      </c>
      <c r="C280" s="22" t="s">
        <v>1182</v>
      </c>
      <c r="D280" s="108" t="s">
        <v>304</v>
      </c>
      <c r="E280" s="167">
        <v>3500</v>
      </c>
      <c r="F280" s="166"/>
      <c r="G280" s="167">
        <v>5280</v>
      </c>
      <c r="H280" s="171">
        <v>5000</v>
      </c>
      <c r="I280" s="167">
        <v>5000</v>
      </c>
      <c r="J280" s="167"/>
      <c r="M280" s="7"/>
      <c r="N280" s="7"/>
      <c r="O280" s="7"/>
    </row>
    <row r="281" spans="1:148" ht="18" customHeight="1" x14ac:dyDescent="0.25">
      <c r="A281" s="14">
        <v>601</v>
      </c>
      <c r="B281" s="20" t="s">
        <v>105</v>
      </c>
      <c r="C281" s="22" t="s">
        <v>1183</v>
      </c>
      <c r="D281" s="108" t="s">
        <v>305</v>
      </c>
      <c r="E281" s="167">
        <v>37480</v>
      </c>
      <c r="F281" s="166"/>
      <c r="G281" s="167">
        <v>38861</v>
      </c>
      <c r="H281" s="171">
        <v>38861</v>
      </c>
      <c r="I281" s="167">
        <v>38861</v>
      </c>
      <c r="J281" s="167"/>
      <c r="M281" s="7"/>
      <c r="N281" s="7"/>
      <c r="O281" s="7"/>
    </row>
    <row r="282" spans="1:148" s="10" customFormat="1" ht="18" customHeight="1" x14ac:dyDescent="0.25">
      <c r="A282" s="14">
        <v>601</v>
      </c>
      <c r="B282" s="20" t="s">
        <v>105</v>
      </c>
      <c r="C282" s="22" t="s">
        <v>1184</v>
      </c>
      <c r="D282" s="108" t="s">
        <v>306</v>
      </c>
      <c r="E282" s="167">
        <v>2520</v>
      </c>
      <c r="F282" s="166"/>
      <c r="G282" s="167">
        <v>1193</v>
      </c>
      <c r="H282" s="171">
        <v>1193</v>
      </c>
      <c r="I282" s="167">
        <v>1193</v>
      </c>
      <c r="J282" s="167"/>
      <c r="K282" s="217"/>
      <c r="L282" s="8"/>
      <c r="M282" s="7"/>
      <c r="N282" s="7"/>
      <c r="O282" s="7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  <c r="CF282" s="8"/>
      <c r="CG282" s="8"/>
      <c r="CH282" s="8"/>
      <c r="CI282" s="8"/>
      <c r="CJ282" s="8"/>
      <c r="CK282" s="8"/>
      <c r="CL282" s="8"/>
      <c r="CM282" s="8"/>
      <c r="CN282" s="8"/>
      <c r="CO282" s="8"/>
      <c r="CP282" s="8"/>
      <c r="CQ282" s="8"/>
      <c r="CR282" s="8"/>
      <c r="CS282" s="8"/>
      <c r="CT282" s="8"/>
      <c r="CU282" s="8"/>
      <c r="CV282" s="8"/>
      <c r="CW282" s="8"/>
      <c r="CX282" s="8"/>
      <c r="CY282" s="8"/>
      <c r="CZ282" s="8"/>
      <c r="DA282" s="8"/>
      <c r="DB282" s="8"/>
      <c r="DC282" s="8"/>
      <c r="DD282" s="8"/>
      <c r="DE282" s="8"/>
      <c r="DF282" s="8"/>
      <c r="DG282" s="8"/>
      <c r="DH282" s="8"/>
      <c r="DI282" s="8"/>
      <c r="DJ282" s="8"/>
      <c r="DK282" s="8"/>
      <c r="DL282" s="8"/>
      <c r="DM282" s="8"/>
      <c r="DN282" s="8"/>
      <c r="DO282" s="8"/>
      <c r="DP282" s="8"/>
      <c r="DQ282" s="8"/>
      <c r="DR282" s="8"/>
      <c r="DS282" s="8"/>
      <c r="DT282" s="8"/>
      <c r="DU282" s="8"/>
      <c r="DV282" s="8"/>
      <c r="DW282" s="8"/>
      <c r="DX282" s="8"/>
      <c r="DY282" s="8"/>
      <c r="DZ282" s="8"/>
      <c r="EA282" s="8"/>
      <c r="EB282" s="8"/>
      <c r="EC282" s="8"/>
      <c r="ED282" s="8"/>
      <c r="EE282" s="8"/>
      <c r="EF282" s="8"/>
      <c r="EG282" s="8"/>
      <c r="EH282" s="8"/>
      <c r="EI282" s="8"/>
      <c r="EJ282" s="8"/>
      <c r="EK282" s="8"/>
      <c r="EL282" s="8"/>
      <c r="EM282" s="8"/>
      <c r="EN282" s="8"/>
      <c r="EO282" s="8"/>
      <c r="EP282" s="8"/>
      <c r="EQ282" s="8"/>
      <c r="ER282" s="8"/>
    </row>
    <row r="283" spans="1:148" ht="18" customHeight="1" x14ac:dyDescent="0.25">
      <c r="A283" s="14">
        <v>601</v>
      </c>
      <c r="B283" s="20" t="s">
        <v>105</v>
      </c>
      <c r="C283" s="22" t="s">
        <v>1185</v>
      </c>
      <c r="D283" s="108" t="s">
        <v>307</v>
      </c>
      <c r="E283" s="167">
        <v>6000</v>
      </c>
      <c r="F283" s="166"/>
      <c r="G283" s="167">
        <v>10763</v>
      </c>
      <c r="H283" s="171">
        <v>10763</v>
      </c>
      <c r="I283" s="167">
        <v>10763</v>
      </c>
      <c r="J283" s="167"/>
      <c r="M283" s="7"/>
      <c r="N283" s="7"/>
      <c r="O283" s="7"/>
    </row>
    <row r="284" spans="1:148" ht="18" customHeight="1" x14ac:dyDescent="0.25">
      <c r="A284" s="14">
        <v>601</v>
      </c>
      <c r="B284" s="20" t="s">
        <v>105</v>
      </c>
      <c r="C284" s="22" t="s">
        <v>1186</v>
      </c>
      <c r="D284" s="108" t="s">
        <v>308</v>
      </c>
      <c r="E284" s="167">
        <v>5438</v>
      </c>
      <c r="F284" s="166"/>
      <c r="G284" s="167">
        <v>5000</v>
      </c>
      <c r="H284" s="171">
        <v>5000</v>
      </c>
      <c r="I284" s="167">
        <v>5000</v>
      </c>
      <c r="J284" s="167"/>
      <c r="M284" s="7"/>
      <c r="N284" s="7"/>
      <c r="O284" s="7"/>
    </row>
    <row r="285" spans="1:148" s="10" customFormat="1" ht="18" customHeight="1" x14ac:dyDescent="0.25">
      <c r="A285" s="14">
        <v>601</v>
      </c>
      <c r="B285" s="20" t="s">
        <v>105</v>
      </c>
      <c r="C285" s="22" t="s">
        <v>1187</v>
      </c>
      <c r="D285" s="108" t="s">
        <v>309</v>
      </c>
      <c r="E285" s="167">
        <v>1105</v>
      </c>
      <c r="F285" s="166"/>
      <c r="G285" s="167">
        <v>1105</v>
      </c>
      <c r="H285" s="171">
        <v>1105</v>
      </c>
      <c r="I285" s="167">
        <v>1105</v>
      </c>
      <c r="J285" s="167"/>
      <c r="K285" s="217"/>
      <c r="L285" s="8"/>
      <c r="M285" s="7"/>
      <c r="N285" s="7"/>
      <c r="O285" s="7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  <c r="CF285" s="8"/>
      <c r="CG285" s="8"/>
      <c r="CH285" s="8"/>
      <c r="CI285" s="8"/>
      <c r="CJ285" s="8"/>
      <c r="CK285" s="8"/>
      <c r="CL285" s="8"/>
      <c r="CM285" s="8"/>
      <c r="CN285" s="8"/>
      <c r="CO285" s="8"/>
      <c r="CP285" s="8"/>
      <c r="CQ285" s="8"/>
      <c r="CR285" s="8"/>
      <c r="CS285" s="8"/>
      <c r="CT285" s="8"/>
      <c r="CU285" s="8"/>
      <c r="CV285" s="8"/>
      <c r="CW285" s="8"/>
      <c r="CX285" s="8"/>
      <c r="CY285" s="8"/>
      <c r="CZ285" s="8"/>
      <c r="DA285" s="8"/>
      <c r="DB285" s="8"/>
      <c r="DC285" s="8"/>
      <c r="DD285" s="8"/>
      <c r="DE285" s="8"/>
      <c r="DF285" s="8"/>
      <c r="DG285" s="8"/>
      <c r="DH285" s="8"/>
      <c r="DI285" s="8"/>
      <c r="DJ285" s="8"/>
      <c r="DK285" s="8"/>
      <c r="DL285" s="8"/>
      <c r="DM285" s="8"/>
      <c r="DN285" s="8"/>
      <c r="DO285" s="8"/>
      <c r="DP285" s="8"/>
      <c r="DQ285" s="8"/>
      <c r="DR285" s="8"/>
      <c r="DS285" s="8"/>
      <c r="DT285" s="8"/>
      <c r="DU285" s="8"/>
      <c r="DV285" s="8"/>
      <c r="DW285" s="8"/>
      <c r="DX285" s="8"/>
      <c r="DY285" s="8"/>
      <c r="DZ285" s="8"/>
      <c r="EA285" s="8"/>
      <c r="EB285" s="8"/>
      <c r="EC285" s="8"/>
      <c r="ED285" s="8"/>
      <c r="EE285" s="8"/>
      <c r="EF285" s="8"/>
      <c r="EG285" s="8"/>
      <c r="EH285" s="8"/>
      <c r="EI285" s="8"/>
      <c r="EJ285" s="8"/>
      <c r="EK285" s="8"/>
      <c r="EL285" s="8"/>
      <c r="EM285" s="8"/>
      <c r="EN285" s="8"/>
      <c r="EO285" s="8"/>
      <c r="EP285" s="8"/>
      <c r="EQ285" s="8"/>
      <c r="ER285" s="8"/>
    </row>
    <row r="286" spans="1:148" ht="18" customHeight="1" x14ac:dyDescent="0.25">
      <c r="A286" s="14">
        <v>601</v>
      </c>
      <c r="B286" s="20" t="s">
        <v>105</v>
      </c>
      <c r="C286" s="22" t="s">
        <v>1188</v>
      </c>
      <c r="D286" s="108" t="s">
        <v>310</v>
      </c>
      <c r="E286" s="167">
        <v>2500</v>
      </c>
      <c r="F286" s="166"/>
      <c r="G286" s="167">
        <v>5000</v>
      </c>
      <c r="H286" s="171">
        <v>2500</v>
      </c>
      <c r="I286" s="167">
        <v>2500</v>
      </c>
      <c r="J286" s="167"/>
      <c r="M286" s="7"/>
      <c r="N286" s="7"/>
      <c r="O286" s="7"/>
    </row>
    <row r="287" spans="1:148" ht="18" customHeight="1" x14ac:dyDescent="0.25">
      <c r="A287" s="14">
        <v>601</v>
      </c>
      <c r="B287" s="20" t="s">
        <v>105</v>
      </c>
      <c r="C287" s="22" t="s">
        <v>1189</v>
      </c>
      <c r="D287" s="108" t="s">
        <v>311</v>
      </c>
      <c r="E287" s="167">
        <v>2500</v>
      </c>
      <c r="F287" s="166"/>
      <c r="G287" s="167">
        <v>3959</v>
      </c>
      <c r="H287" s="171">
        <v>2500</v>
      </c>
      <c r="I287" s="167">
        <v>2500</v>
      </c>
      <c r="J287" s="167"/>
      <c r="M287" s="7"/>
      <c r="N287" s="7"/>
      <c r="O287" s="7"/>
    </row>
    <row r="288" spans="1:148" ht="18" customHeight="1" x14ac:dyDescent="0.25">
      <c r="A288" s="14">
        <v>601</v>
      </c>
      <c r="B288" s="20" t="s">
        <v>105</v>
      </c>
      <c r="C288" s="22" t="s">
        <v>1190</v>
      </c>
      <c r="D288" s="108" t="s">
        <v>312</v>
      </c>
      <c r="E288" s="167">
        <v>2500</v>
      </c>
      <c r="F288" s="166"/>
      <c r="G288" s="167">
        <v>5000</v>
      </c>
      <c r="H288" s="171">
        <v>2500</v>
      </c>
      <c r="I288" s="167">
        <v>2500</v>
      </c>
      <c r="J288" s="167"/>
      <c r="M288" s="7"/>
      <c r="N288" s="7"/>
      <c r="O288" s="7"/>
    </row>
    <row r="289" spans="1:148" s="10" customFormat="1" ht="18" customHeight="1" x14ac:dyDescent="0.25">
      <c r="A289" s="14">
        <v>601</v>
      </c>
      <c r="B289" s="20" t="s">
        <v>105</v>
      </c>
      <c r="C289" s="22" t="s">
        <v>1191</v>
      </c>
      <c r="D289" s="108" t="s">
        <v>313</v>
      </c>
      <c r="E289" s="167">
        <v>2000</v>
      </c>
      <c r="F289" s="166"/>
      <c r="G289" s="167">
        <v>4000</v>
      </c>
      <c r="H289" s="171">
        <v>2000</v>
      </c>
      <c r="I289" s="167">
        <v>2000</v>
      </c>
      <c r="J289" s="167"/>
      <c r="K289" s="217"/>
      <c r="L289" s="8"/>
      <c r="M289" s="7"/>
      <c r="N289" s="7"/>
      <c r="O289" s="7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BV289" s="8"/>
      <c r="BW289" s="8"/>
      <c r="BX289" s="8"/>
      <c r="BY289" s="8"/>
      <c r="BZ289" s="8"/>
      <c r="CA289" s="8"/>
      <c r="CB289" s="8"/>
      <c r="CC289" s="8"/>
      <c r="CD289" s="8"/>
      <c r="CE289" s="8"/>
      <c r="CF289" s="8"/>
      <c r="CG289" s="8"/>
      <c r="CH289" s="8"/>
      <c r="CI289" s="8"/>
      <c r="CJ289" s="8"/>
      <c r="CK289" s="8"/>
      <c r="CL289" s="8"/>
      <c r="CM289" s="8"/>
      <c r="CN289" s="8"/>
      <c r="CO289" s="8"/>
      <c r="CP289" s="8"/>
      <c r="CQ289" s="8"/>
      <c r="CR289" s="8"/>
      <c r="CS289" s="8"/>
      <c r="CT289" s="8"/>
      <c r="CU289" s="8"/>
      <c r="CV289" s="8"/>
      <c r="CW289" s="8"/>
      <c r="CX289" s="8"/>
      <c r="CY289" s="8"/>
      <c r="CZ289" s="8"/>
      <c r="DA289" s="8"/>
      <c r="DB289" s="8"/>
      <c r="DC289" s="8"/>
      <c r="DD289" s="8"/>
      <c r="DE289" s="8"/>
      <c r="DF289" s="8"/>
      <c r="DG289" s="8"/>
      <c r="DH289" s="8"/>
      <c r="DI289" s="8"/>
      <c r="DJ289" s="8"/>
      <c r="DK289" s="8"/>
      <c r="DL289" s="8"/>
      <c r="DM289" s="8"/>
      <c r="DN289" s="8"/>
      <c r="DO289" s="8"/>
      <c r="DP289" s="8"/>
      <c r="DQ289" s="8"/>
      <c r="DR289" s="8"/>
      <c r="DS289" s="8"/>
      <c r="DT289" s="8"/>
      <c r="DU289" s="8"/>
      <c r="DV289" s="8"/>
      <c r="DW289" s="8"/>
      <c r="DX289" s="8"/>
      <c r="DY289" s="8"/>
      <c r="DZ289" s="8"/>
      <c r="EA289" s="8"/>
      <c r="EB289" s="8"/>
      <c r="EC289" s="8"/>
      <c r="ED289" s="8"/>
      <c r="EE289" s="8"/>
      <c r="EF289" s="8"/>
      <c r="EG289" s="8"/>
      <c r="EH289" s="8"/>
      <c r="EI289" s="8"/>
      <c r="EJ289" s="8"/>
      <c r="EK289" s="8"/>
      <c r="EL289" s="8"/>
      <c r="EM289" s="8"/>
      <c r="EN289" s="8"/>
      <c r="EO289" s="8"/>
      <c r="EP289" s="8"/>
      <c r="EQ289" s="8"/>
      <c r="ER289" s="8"/>
    </row>
    <row r="290" spans="1:148" ht="18" customHeight="1" x14ac:dyDescent="0.25">
      <c r="A290" s="17" t="s">
        <v>106</v>
      </c>
      <c r="B290" s="21" t="s">
        <v>31</v>
      </c>
      <c r="C290" s="19" t="s">
        <v>31</v>
      </c>
      <c r="D290" s="21" t="s">
        <v>31</v>
      </c>
      <c r="E290" s="168">
        <f>SUM(E276:E289)</f>
        <v>490561</v>
      </c>
      <c r="F290" s="166"/>
      <c r="G290" s="168">
        <f>SUM(G276:G289)</f>
        <v>458182.95</v>
      </c>
      <c r="H290" s="168">
        <f>SUM(H276:H289)</f>
        <v>445305.95</v>
      </c>
      <c r="I290" s="168">
        <f t="shared" ref="I290:J290" si="14">SUM(I276:I289)</f>
        <v>445305.95</v>
      </c>
      <c r="J290" s="168">
        <f t="shared" si="14"/>
        <v>0</v>
      </c>
      <c r="M290" s="7"/>
      <c r="N290" s="7"/>
      <c r="O290" s="7"/>
    </row>
    <row r="291" spans="1:148" s="10" customFormat="1" ht="18" customHeight="1" x14ac:dyDescent="0.25">
      <c r="A291" s="14">
        <v>701</v>
      </c>
      <c r="B291" s="20" t="s">
        <v>107</v>
      </c>
      <c r="C291" s="22" t="s">
        <v>1192</v>
      </c>
      <c r="D291" s="108" t="s">
        <v>314</v>
      </c>
      <c r="E291" s="167">
        <v>75355</v>
      </c>
      <c r="F291" s="166"/>
      <c r="G291" s="167">
        <v>75066</v>
      </c>
      <c r="H291" s="167">
        <v>75066</v>
      </c>
      <c r="I291" s="167">
        <v>75066</v>
      </c>
      <c r="J291" s="167"/>
      <c r="K291" s="217"/>
      <c r="L291" s="8"/>
      <c r="M291" s="7"/>
      <c r="N291" s="7"/>
      <c r="O291" s="7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  <c r="BV291" s="8"/>
      <c r="BW291" s="8"/>
      <c r="BX291" s="8"/>
      <c r="BY291" s="8"/>
      <c r="BZ291" s="8"/>
      <c r="CA291" s="8"/>
      <c r="CB291" s="8"/>
      <c r="CC291" s="8"/>
      <c r="CD291" s="8"/>
      <c r="CE291" s="8"/>
      <c r="CF291" s="8"/>
      <c r="CG291" s="8"/>
      <c r="CH291" s="8"/>
      <c r="CI291" s="8"/>
      <c r="CJ291" s="8"/>
      <c r="CK291" s="8"/>
      <c r="CL291" s="8"/>
      <c r="CM291" s="8"/>
      <c r="CN291" s="8"/>
      <c r="CO291" s="8"/>
      <c r="CP291" s="8"/>
      <c r="CQ291" s="8"/>
      <c r="CR291" s="8"/>
      <c r="CS291" s="8"/>
      <c r="CT291" s="8"/>
      <c r="CU291" s="8"/>
      <c r="CV291" s="8"/>
      <c r="CW291" s="8"/>
      <c r="CX291" s="8"/>
      <c r="CY291" s="8"/>
      <c r="CZ291" s="8"/>
      <c r="DA291" s="8"/>
      <c r="DB291" s="8"/>
      <c r="DC291" s="8"/>
      <c r="DD291" s="8"/>
      <c r="DE291" s="8"/>
      <c r="DF291" s="8"/>
      <c r="DG291" s="8"/>
      <c r="DH291" s="8"/>
      <c r="DI291" s="8"/>
      <c r="DJ291" s="8"/>
      <c r="DK291" s="8"/>
      <c r="DL291" s="8"/>
      <c r="DM291" s="8"/>
      <c r="DN291" s="8"/>
      <c r="DO291" s="8"/>
      <c r="DP291" s="8"/>
      <c r="DQ291" s="8"/>
      <c r="DR291" s="8"/>
      <c r="DS291" s="8"/>
      <c r="DT291" s="8"/>
      <c r="DU291" s="8"/>
      <c r="DV291" s="8"/>
      <c r="DW291" s="8"/>
      <c r="DX291" s="8"/>
      <c r="DY291" s="8"/>
      <c r="DZ291" s="8"/>
      <c r="EA291" s="8"/>
      <c r="EB291" s="8"/>
      <c r="EC291" s="8"/>
      <c r="ED291" s="8"/>
      <c r="EE291" s="8"/>
      <c r="EF291" s="8"/>
      <c r="EG291" s="8"/>
      <c r="EH291" s="8"/>
      <c r="EI291" s="8"/>
      <c r="EJ291" s="8"/>
      <c r="EK291" s="8"/>
      <c r="EL291" s="8"/>
      <c r="EM291" s="8"/>
      <c r="EN291" s="8"/>
      <c r="EO291" s="8"/>
      <c r="EP291" s="8"/>
      <c r="EQ291" s="8"/>
      <c r="ER291" s="8"/>
    </row>
    <row r="292" spans="1:148" ht="18" customHeight="1" x14ac:dyDescent="0.25">
      <c r="A292" s="14">
        <v>701</v>
      </c>
      <c r="B292" s="20" t="s">
        <v>107</v>
      </c>
      <c r="C292" s="22" t="s">
        <v>1193</v>
      </c>
      <c r="D292" s="108" t="s">
        <v>161</v>
      </c>
      <c r="E292" s="167">
        <v>1560</v>
      </c>
      <c r="F292" s="166"/>
      <c r="G292" s="167">
        <v>1560</v>
      </c>
      <c r="H292" s="167">
        <v>1560</v>
      </c>
      <c r="I292" s="167">
        <v>1560</v>
      </c>
      <c r="J292" s="167"/>
      <c r="M292" s="7"/>
      <c r="N292" s="7"/>
      <c r="O292" s="7"/>
    </row>
    <row r="293" spans="1:148" ht="18" customHeight="1" x14ac:dyDescent="0.25">
      <c r="A293" s="14">
        <v>701</v>
      </c>
      <c r="B293" s="20" t="s">
        <v>107</v>
      </c>
      <c r="C293" s="22" t="s">
        <v>1194</v>
      </c>
      <c r="D293" s="108" t="s">
        <v>315</v>
      </c>
      <c r="E293" s="167">
        <v>2000</v>
      </c>
      <c r="F293" s="166"/>
      <c r="G293" s="167">
        <v>3000</v>
      </c>
      <c r="H293" s="167">
        <v>0</v>
      </c>
      <c r="I293" s="167">
        <v>0</v>
      </c>
      <c r="J293" s="167"/>
      <c r="M293" s="7"/>
      <c r="N293" s="7"/>
      <c r="O293" s="7"/>
    </row>
    <row r="294" spans="1:148" s="10" customFormat="1" ht="18" customHeight="1" x14ac:dyDescent="0.25">
      <c r="A294" s="14">
        <v>701</v>
      </c>
      <c r="B294" s="20" t="s">
        <v>107</v>
      </c>
      <c r="C294" s="22" t="s">
        <v>1195</v>
      </c>
      <c r="D294" s="108" t="s">
        <v>316</v>
      </c>
      <c r="E294" s="167">
        <v>2000</v>
      </c>
      <c r="F294" s="166"/>
      <c r="G294" s="167">
        <v>2000</v>
      </c>
      <c r="H294" s="167">
        <v>0</v>
      </c>
      <c r="I294" s="167">
        <v>0</v>
      </c>
      <c r="J294" s="167"/>
      <c r="K294" s="217"/>
      <c r="L294" s="8"/>
      <c r="M294" s="7"/>
      <c r="N294" s="7"/>
      <c r="O294" s="7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  <c r="CF294" s="8"/>
      <c r="CG294" s="8"/>
      <c r="CH294" s="8"/>
      <c r="CI294" s="8"/>
      <c r="CJ294" s="8"/>
      <c r="CK294" s="8"/>
      <c r="CL294" s="8"/>
      <c r="CM294" s="8"/>
      <c r="CN294" s="8"/>
      <c r="CO294" s="8"/>
      <c r="CP294" s="8"/>
      <c r="CQ294" s="8"/>
      <c r="CR294" s="8"/>
      <c r="CS294" s="8"/>
      <c r="CT294" s="8"/>
      <c r="CU294" s="8"/>
      <c r="CV294" s="8"/>
      <c r="CW294" s="8"/>
      <c r="CX294" s="8"/>
      <c r="CY294" s="8"/>
      <c r="CZ294" s="8"/>
      <c r="DA294" s="8"/>
      <c r="DB294" s="8"/>
      <c r="DC294" s="8"/>
      <c r="DD294" s="8"/>
      <c r="DE294" s="8"/>
      <c r="DF294" s="8"/>
      <c r="DG294" s="8"/>
      <c r="DH294" s="8"/>
      <c r="DI294" s="8"/>
      <c r="DJ294" s="8"/>
      <c r="DK294" s="8"/>
      <c r="DL294" s="8"/>
      <c r="DM294" s="8"/>
      <c r="DN294" s="8"/>
      <c r="DO294" s="8"/>
      <c r="DP294" s="8"/>
      <c r="DQ294" s="8"/>
      <c r="DR294" s="8"/>
      <c r="DS294" s="8"/>
      <c r="DT294" s="8"/>
      <c r="DU294" s="8"/>
      <c r="DV294" s="8"/>
      <c r="DW294" s="8"/>
      <c r="DX294" s="8"/>
      <c r="DY294" s="8"/>
      <c r="DZ294" s="8"/>
      <c r="EA294" s="8"/>
      <c r="EB294" s="8"/>
      <c r="EC294" s="8"/>
      <c r="ED294" s="8"/>
      <c r="EE294" s="8"/>
      <c r="EF294" s="8"/>
      <c r="EG294" s="8"/>
      <c r="EH294" s="8"/>
      <c r="EI294" s="8"/>
      <c r="EJ294" s="8"/>
      <c r="EK294" s="8"/>
      <c r="EL294" s="8"/>
      <c r="EM294" s="8"/>
      <c r="EN294" s="8"/>
      <c r="EO294" s="8"/>
      <c r="EP294" s="8"/>
      <c r="EQ294" s="8"/>
      <c r="ER294" s="8"/>
    </row>
    <row r="295" spans="1:148" ht="18" customHeight="1" x14ac:dyDescent="0.25">
      <c r="A295" s="14">
        <v>701</v>
      </c>
      <c r="B295" s="20" t="s">
        <v>107</v>
      </c>
      <c r="C295" s="22" t="s">
        <v>1196</v>
      </c>
      <c r="D295" s="108" t="s">
        <v>317</v>
      </c>
      <c r="E295" s="167">
        <v>2000</v>
      </c>
      <c r="F295" s="166"/>
      <c r="G295" s="167">
        <v>2000</v>
      </c>
      <c r="H295" s="167">
        <v>0</v>
      </c>
      <c r="I295" s="167">
        <v>0</v>
      </c>
      <c r="J295" s="167"/>
    </row>
    <row r="296" spans="1:148" ht="18" customHeight="1" x14ac:dyDescent="0.25">
      <c r="A296" s="14">
        <v>701</v>
      </c>
      <c r="B296" s="20" t="s">
        <v>107</v>
      </c>
      <c r="C296" s="22" t="s">
        <v>1197</v>
      </c>
      <c r="D296" s="108" t="s">
        <v>318</v>
      </c>
      <c r="E296" s="167">
        <v>2000</v>
      </c>
      <c r="F296" s="166"/>
      <c r="G296" s="167">
        <v>3000</v>
      </c>
      <c r="H296" s="167">
        <v>0</v>
      </c>
      <c r="I296" s="167">
        <v>0</v>
      </c>
      <c r="J296" s="167"/>
      <c r="M296" s="7"/>
      <c r="N296" s="7"/>
      <c r="O296" s="7"/>
    </row>
    <row r="297" spans="1:148" ht="18" customHeight="1" x14ac:dyDescent="0.25">
      <c r="A297" s="14">
        <v>701</v>
      </c>
      <c r="B297" s="20" t="s">
        <v>107</v>
      </c>
      <c r="C297" s="22" t="s">
        <v>1198</v>
      </c>
      <c r="D297" s="108" t="s">
        <v>319</v>
      </c>
      <c r="E297" s="167">
        <v>1000</v>
      </c>
      <c r="F297" s="166"/>
      <c r="G297" s="167">
        <v>1000</v>
      </c>
      <c r="H297" s="167">
        <v>0</v>
      </c>
      <c r="I297" s="167">
        <v>0</v>
      </c>
      <c r="J297" s="167"/>
      <c r="M297" s="7"/>
      <c r="N297" s="7"/>
      <c r="O297" s="7"/>
    </row>
    <row r="298" spans="1:148" ht="18" customHeight="1" x14ac:dyDescent="0.25">
      <c r="A298" s="14">
        <v>701</v>
      </c>
      <c r="B298" s="20" t="s">
        <v>107</v>
      </c>
      <c r="C298" s="22" t="s">
        <v>1199</v>
      </c>
      <c r="D298" s="108" t="s">
        <v>320</v>
      </c>
      <c r="E298" s="167">
        <v>2000</v>
      </c>
      <c r="F298" s="166"/>
      <c r="G298" s="167">
        <v>3000</v>
      </c>
      <c r="H298" s="167">
        <v>3000</v>
      </c>
      <c r="I298" s="167">
        <v>3000</v>
      </c>
      <c r="J298" s="167"/>
      <c r="M298" s="7"/>
      <c r="N298" s="7"/>
      <c r="O298" s="7"/>
    </row>
    <row r="299" spans="1:148" s="10" customFormat="1" ht="18" customHeight="1" x14ac:dyDescent="0.25">
      <c r="A299" s="14">
        <v>701</v>
      </c>
      <c r="B299" s="20" t="s">
        <v>107</v>
      </c>
      <c r="C299" s="22" t="s">
        <v>1200</v>
      </c>
      <c r="D299" s="108" t="s">
        <v>321</v>
      </c>
      <c r="E299" s="167">
        <v>2000</v>
      </c>
      <c r="F299" s="166"/>
      <c r="G299" s="167">
        <v>2000</v>
      </c>
      <c r="H299" s="167">
        <v>0</v>
      </c>
      <c r="I299" s="167">
        <v>0</v>
      </c>
      <c r="J299" s="167"/>
      <c r="K299" s="217"/>
      <c r="L299" s="8"/>
      <c r="M299" s="67"/>
      <c r="N299" s="67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  <c r="CF299" s="8"/>
      <c r="CG299" s="8"/>
      <c r="CH299" s="8"/>
      <c r="CI299" s="8"/>
      <c r="CJ299" s="8"/>
      <c r="CK299" s="8"/>
      <c r="CL299" s="8"/>
      <c r="CM299" s="8"/>
      <c r="CN299" s="8"/>
      <c r="CO299" s="8"/>
      <c r="CP299" s="8"/>
      <c r="CQ299" s="8"/>
      <c r="CR299" s="8"/>
      <c r="CS299" s="8"/>
      <c r="CT299" s="8"/>
      <c r="CU299" s="8"/>
      <c r="CV299" s="8"/>
      <c r="CW299" s="8"/>
      <c r="CX299" s="8"/>
      <c r="CY299" s="8"/>
      <c r="CZ299" s="8"/>
      <c r="DA299" s="8"/>
      <c r="DB299" s="8"/>
      <c r="DC299" s="8"/>
      <c r="DD299" s="8"/>
      <c r="DE299" s="8"/>
      <c r="DF299" s="8"/>
      <c r="DG299" s="8"/>
      <c r="DH299" s="8"/>
      <c r="DI299" s="8"/>
      <c r="DJ299" s="8"/>
      <c r="DK299" s="8"/>
      <c r="DL299" s="8"/>
      <c r="DM299" s="8"/>
      <c r="DN299" s="8"/>
      <c r="DO299" s="8"/>
      <c r="DP299" s="8"/>
      <c r="DQ299" s="8"/>
      <c r="DR299" s="8"/>
      <c r="DS299" s="8"/>
      <c r="DT299" s="8"/>
      <c r="DU299" s="8"/>
      <c r="DV299" s="8"/>
      <c r="DW299" s="8"/>
      <c r="DX299" s="8"/>
      <c r="DY299" s="8"/>
      <c r="DZ299" s="8"/>
      <c r="EA299" s="8"/>
      <c r="EB299" s="8"/>
      <c r="EC299" s="8"/>
      <c r="ED299" s="8"/>
      <c r="EE299" s="8"/>
      <c r="EF299" s="8"/>
      <c r="EG299" s="8"/>
      <c r="EH299" s="8"/>
      <c r="EI299" s="8"/>
      <c r="EJ299" s="8"/>
      <c r="EK299" s="8"/>
      <c r="EL299" s="8"/>
      <c r="EM299" s="8"/>
      <c r="EN299" s="8"/>
      <c r="EO299" s="8"/>
      <c r="EP299" s="8"/>
      <c r="EQ299" s="8"/>
      <c r="ER299" s="8"/>
    </row>
    <row r="300" spans="1:148" ht="18" customHeight="1" x14ac:dyDescent="0.25">
      <c r="A300" s="17" t="s">
        <v>108</v>
      </c>
      <c r="B300" s="21" t="s">
        <v>31</v>
      </c>
      <c r="C300" s="19"/>
      <c r="D300" s="21"/>
      <c r="E300" s="168">
        <f>SUM(E291:E299)</f>
        <v>89915</v>
      </c>
      <c r="F300" s="166"/>
      <c r="G300" s="168">
        <f>SUM(G291:G299)</f>
        <v>92626</v>
      </c>
      <c r="H300" s="168">
        <f>SUM(H291:H299)</f>
        <v>79626</v>
      </c>
      <c r="I300" s="168">
        <f>SUM(I291:I299)</f>
        <v>79626</v>
      </c>
      <c r="J300" s="168">
        <f>SUM(J291:J299)</f>
        <v>0</v>
      </c>
    </row>
    <row r="301" spans="1:148" ht="18" customHeight="1" x14ac:dyDescent="0.25">
      <c r="A301" s="14">
        <v>801</v>
      </c>
      <c r="B301" s="20" t="s">
        <v>33</v>
      </c>
      <c r="C301" s="262" t="s">
        <v>1118</v>
      </c>
      <c r="D301" s="211" t="s">
        <v>34</v>
      </c>
      <c r="E301" s="212">
        <v>615908</v>
      </c>
      <c r="F301" s="213"/>
      <c r="G301" s="212">
        <v>615908</v>
      </c>
      <c r="H301" s="212">
        <v>615908</v>
      </c>
      <c r="I301" s="167">
        <v>615908</v>
      </c>
      <c r="J301" s="167"/>
      <c r="M301" s="7"/>
      <c r="N301" s="7"/>
      <c r="O301" s="7"/>
    </row>
    <row r="302" spans="1:148" ht="18" customHeight="1" x14ac:dyDescent="0.25">
      <c r="A302" s="14">
        <v>801</v>
      </c>
      <c r="B302" s="20" t="s">
        <v>33</v>
      </c>
      <c r="C302" s="262" t="s">
        <v>1119</v>
      </c>
      <c r="D302" s="211" t="s">
        <v>35</v>
      </c>
      <c r="E302" s="212">
        <v>12000</v>
      </c>
      <c r="F302" s="213"/>
      <c r="G302" s="212">
        <v>12000</v>
      </c>
      <c r="H302" s="212">
        <v>5400</v>
      </c>
      <c r="I302" s="167">
        <v>5400</v>
      </c>
      <c r="J302" s="167"/>
      <c r="M302" s="7"/>
      <c r="N302" s="7"/>
      <c r="O302" s="7"/>
    </row>
    <row r="303" spans="1:148" ht="18" customHeight="1" x14ac:dyDescent="0.25">
      <c r="A303" s="14">
        <v>801</v>
      </c>
      <c r="B303" s="20" t="s">
        <v>33</v>
      </c>
      <c r="C303" s="262" t="s">
        <v>1120</v>
      </c>
      <c r="D303" s="211" t="s">
        <v>36</v>
      </c>
      <c r="E303" s="212">
        <v>1000</v>
      </c>
      <c r="F303" s="213"/>
      <c r="G303" s="212">
        <v>1000</v>
      </c>
      <c r="H303" s="212">
        <v>0</v>
      </c>
      <c r="I303" s="167">
        <v>0</v>
      </c>
      <c r="J303" s="167"/>
      <c r="M303" s="7"/>
      <c r="N303" s="7"/>
      <c r="O303" s="7"/>
    </row>
    <row r="304" spans="1:148" ht="18" customHeight="1" x14ac:dyDescent="0.25">
      <c r="A304" s="14">
        <v>801</v>
      </c>
      <c r="B304" s="20" t="s">
        <v>33</v>
      </c>
      <c r="C304" s="262" t="s">
        <v>1121</v>
      </c>
      <c r="D304" s="211" t="s">
        <v>37</v>
      </c>
      <c r="E304" s="212">
        <v>11000</v>
      </c>
      <c r="F304" s="213"/>
      <c r="G304" s="212">
        <v>11000</v>
      </c>
      <c r="H304" s="212">
        <v>3500</v>
      </c>
      <c r="I304" s="167">
        <v>3500</v>
      </c>
      <c r="J304" s="167"/>
      <c r="M304" s="7"/>
      <c r="N304" s="7"/>
      <c r="O304" s="7"/>
    </row>
    <row r="305" spans="1:148" ht="18" customHeight="1" x14ac:dyDescent="0.25">
      <c r="A305" s="14">
        <v>801</v>
      </c>
      <c r="B305" s="20" t="s">
        <v>33</v>
      </c>
      <c r="C305" s="262" t="s">
        <v>1122</v>
      </c>
      <c r="D305" s="211" t="s">
        <v>38</v>
      </c>
      <c r="E305" s="212">
        <v>19000</v>
      </c>
      <c r="F305" s="213"/>
      <c r="G305" s="212">
        <v>19000</v>
      </c>
      <c r="H305" s="212">
        <v>16600</v>
      </c>
      <c r="I305" s="167">
        <v>16600</v>
      </c>
      <c r="J305" s="167"/>
      <c r="M305" s="7"/>
      <c r="N305" s="7"/>
      <c r="O305" s="7"/>
    </row>
    <row r="306" spans="1:148" ht="18" customHeight="1" x14ac:dyDescent="0.25">
      <c r="A306" s="14">
        <v>801</v>
      </c>
      <c r="B306" s="20" t="s">
        <v>33</v>
      </c>
      <c r="C306" s="262" t="s">
        <v>1123</v>
      </c>
      <c r="D306" s="211" t="s">
        <v>39</v>
      </c>
      <c r="E306" s="212">
        <v>27000</v>
      </c>
      <c r="F306" s="213"/>
      <c r="G306" s="212">
        <v>27000</v>
      </c>
      <c r="H306" s="212">
        <v>23000</v>
      </c>
      <c r="I306" s="167">
        <v>23000</v>
      </c>
      <c r="J306" s="167"/>
      <c r="M306" s="7"/>
      <c r="N306" s="7"/>
      <c r="O306" s="7"/>
    </row>
    <row r="307" spans="1:148" ht="18" customHeight="1" x14ac:dyDescent="0.25">
      <c r="A307" s="14">
        <v>801</v>
      </c>
      <c r="B307" s="20" t="s">
        <v>33</v>
      </c>
      <c r="C307" s="262" t="s">
        <v>1124</v>
      </c>
      <c r="D307" s="211" t="s">
        <v>40</v>
      </c>
      <c r="E307" s="212">
        <v>14500</v>
      </c>
      <c r="F307" s="213"/>
      <c r="G307" s="212">
        <v>14500</v>
      </c>
      <c r="H307" s="212">
        <v>17000</v>
      </c>
      <c r="I307" s="167">
        <v>17000</v>
      </c>
      <c r="J307" s="167"/>
      <c r="M307" s="7"/>
      <c r="N307" s="7"/>
      <c r="O307" s="7"/>
    </row>
    <row r="308" spans="1:148" ht="18" customHeight="1" x14ac:dyDescent="0.25">
      <c r="A308" s="14">
        <v>801</v>
      </c>
      <c r="B308" s="20" t="s">
        <v>33</v>
      </c>
      <c r="C308" s="262" t="s">
        <v>1125</v>
      </c>
      <c r="D308" s="211" t="s">
        <v>41</v>
      </c>
      <c r="E308" s="212">
        <v>34000</v>
      </c>
      <c r="F308" s="213"/>
      <c r="G308" s="212">
        <v>34000</v>
      </c>
      <c r="H308" s="212">
        <v>21000</v>
      </c>
      <c r="I308" s="167">
        <v>21000</v>
      </c>
      <c r="J308" s="167"/>
      <c r="M308" s="7"/>
      <c r="N308" s="7"/>
      <c r="O308" s="7"/>
    </row>
    <row r="309" spans="1:148" ht="18" customHeight="1" x14ac:dyDescent="0.25">
      <c r="A309" s="14">
        <v>801</v>
      </c>
      <c r="B309" s="20" t="s">
        <v>33</v>
      </c>
      <c r="C309" s="262" t="s">
        <v>1126</v>
      </c>
      <c r="D309" s="211" t="s">
        <v>42</v>
      </c>
      <c r="E309" s="212">
        <v>10000</v>
      </c>
      <c r="F309" s="213"/>
      <c r="G309" s="212">
        <v>10000</v>
      </c>
      <c r="H309" s="212">
        <v>3300</v>
      </c>
      <c r="I309" s="167">
        <v>3300</v>
      </c>
      <c r="J309" s="167"/>
      <c r="M309" s="7"/>
      <c r="N309" s="7"/>
      <c r="O309" s="7"/>
    </row>
    <row r="310" spans="1:148" ht="18" customHeight="1" x14ac:dyDescent="0.25">
      <c r="A310" s="14">
        <v>801</v>
      </c>
      <c r="B310" s="20" t="s">
        <v>33</v>
      </c>
      <c r="C310" s="262" t="s">
        <v>1127</v>
      </c>
      <c r="D310" s="211" t="s">
        <v>43</v>
      </c>
      <c r="E310" s="212">
        <v>17300</v>
      </c>
      <c r="F310" s="213"/>
      <c r="G310" s="212">
        <v>17300</v>
      </c>
      <c r="H310" s="212">
        <v>7000</v>
      </c>
      <c r="I310" s="167">
        <v>7000</v>
      </c>
      <c r="J310" s="167"/>
      <c r="M310" s="7"/>
      <c r="N310" s="7"/>
      <c r="O310" s="7"/>
    </row>
    <row r="311" spans="1:148" ht="18" customHeight="1" x14ac:dyDescent="0.25">
      <c r="A311" s="14">
        <v>801</v>
      </c>
      <c r="B311" s="20" t="s">
        <v>33</v>
      </c>
      <c r="C311" s="262" t="s">
        <v>1128</v>
      </c>
      <c r="D311" s="211" t="s">
        <v>44</v>
      </c>
      <c r="E311" s="212">
        <v>8000</v>
      </c>
      <c r="F311" s="213"/>
      <c r="G311" s="212">
        <v>8000</v>
      </c>
      <c r="H311" s="212">
        <v>1500</v>
      </c>
      <c r="I311" s="167">
        <v>1500</v>
      </c>
      <c r="J311" s="167"/>
      <c r="M311" s="7"/>
      <c r="N311" s="7"/>
      <c r="O311" s="7"/>
    </row>
    <row r="312" spans="1:148" ht="18" customHeight="1" x14ac:dyDescent="0.25">
      <c r="A312" s="14">
        <v>801</v>
      </c>
      <c r="B312" s="20" t="s">
        <v>33</v>
      </c>
      <c r="C312" s="262" t="s">
        <v>1129</v>
      </c>
      <c r="D312" s="211" t="s">
        <v>45</v>
      </c>
      <c r="E312" s="212">
        <v>11000</v>
      </c>
      <c r="F312" s="213"/>
      <c r="G312" s="212">
        <v>11000</v>
      </c>
      <c r="H312" s="212">
        <v>3500</v>
      </c>
      <c r="I312" s="167">
        <v>3500</v>
      </c>
      <c r="J312" s="167"/>
      <c r="M312" s="7"/>
      <c r="N312" s="7"/>
      <c r="O312" s="7"/>
    </row>
    <row r="313" spans="1:148" ht="18" customHeight="1" x14ac:dyDescent="0.25">
      <c r="A313" s="14">
        <v>801</v>
      </c>
      <c r="B313" s="20" t="s">
        <v>33</v>
      </c>
      <c r="C313" s="262" t="s">
        <v>1130</v>
      </c>
      <c r="D313" s="211" t="s">
        <v>46</v>
      </c>
      <c r="E313" s="212">
        <v>12500</v>
      </c>
      <c r="F313" s="213"/>
      <c r="G313" s="212">
        <v>12500</v>
      </c>
      <c r="H313" s="212">
        <v>5500</v>
      </c>
      <c r="I313" s="167">
        <v>5500</v>
      </c>
      <c r="J313" s="167"/>
      <c r="M313" s="7"/>
      <c r="N313" s="7"/>
      <c r="O313" s="7"/>
    </row>
    <row r="314" spans="1:148" s="10" customFormat="1" ht="18" customHeight="1" x14ac:dyDescent="0.25">
      <c r="A314" s="14">
        <v>801</v>
      </c>
      <c r="B314" s="20" t="s">
        <v>33</v>
      </c>
      <c r="C314" s="262" t="s">
        <v>1131</v>
      </c>
      <c r="D314" s="211" t="s">
        <v>47</v>
      </c>
      <c r="E314" s="212">
        <v>52000</v>
      </c>
      <c r="F314" s="213"/>
      <c r="G314" s="212">
        <v>52000</v>
      </c>
      <c r="H314" s="212">
        <v>52000</v>
      </c>
      <c r="I314" s="167">
        <v>52000</v>
      </c>
      <c r="J314" s="167"/>
      <c r="K314" s="217"/>
      <c r="L314" s="8"/>
      <c r="M314" s="7"/>
      <c r="N314" s="7"/>
      <c r="O314" s="7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  <c r="CC314" s="8"/>
      <c r="CD314" s="8"/>
      <c r="CE314" s="8"/>
      <c r="CF314" s="8"/>
      <c r="CG314" s="8"/>
      <c r="CH314" s="8"/>
      <c r="CI314" s="8"/>
      <c r="CJ314" s="8"/>
      <c r="CK314" s="8"/>
      <c r="CL314" s="8"/>
      <c r="CM314" s="8"/>
      <c r="CN314" s="8"/>
      <c r="CO314" s="8"/>
      <c r="CP314" s="8"/>
      <c r="CQ314" s="8"/>
      <c r="CR314" s="8"/>
      <c r="CS314" s="8"/>
      <c r="CT314" s="8"/>
      <c r="CU314" s="8"/>
      <c r="CV314" s="8"/>
      <c r="CW314" s="8"/>
      <c r="CX314" s="8"/>
      <c r="CY314" s="8"/>
      <c r="CZ314" s="8"/>
      <c r="DA314" s="8"/>
      <c r="DB314" s="8"/>
      <c r="DC314" s="8"/>
      <c r="DD314" s="8"/>
      <c r="DE314" s="8"/>
      <c r="DF314" s="8"/>
      <c r="DG314" s="8"/>
      <c r="DH314" s="8"/>
      <c r="DI314" s="8"/>
      <c r="DJ314" s="8"/>
      <c r="DK314" s="8"/>
      <c r="DL314" s="8"/>
      <c r="DM314" s="8"/>
      <c r="DN314" s="8"/>
      <c r="DO314" s="8"/>
      <c r="DP314" s="8"/>
      <c r="DQ314" s="8"/>
      <c r="DR314" s="8"/>
      <c r="DS314" s="8"/>
      <c r="DT314" s="8"/>
      <c r="DU314" s="8"/>
      <c r="DV314" s="8"/>
      <c r="DW314" s="8"/>
      <c r="DX314" s="8"/>
      <c r="DY314" s="8"/>
      <c r="DZ314" s="8"/>
      <c r="EA314" s="8"/>
      <c r="EB314" s="8"/>
      <c r="EC314" s="8"/>
      <c r="ED314" s="8"/>
      <c r="EE314" s="8"/>
      <c r="EF314" s="8"/>
      <c r="EG314" s="8"/>
      <c r="EH314" s="8"/>
      <c r="EI314" s="8"/>
      <c r="EJ314" s="8"/>
      <c r="EK314" s="8"/>
      <c r="EL314" s="8"/>
      <c r="EM314" s="8"/>
      <c r="EN314" s="8"/>
      <c r="EO314" s="8"/>
      <c r="EP314" s="8"/>
      <c r="EQ314" s="8"/>
      <c r="ER314" s="8"/>
    </row>
    <row r="315" spans="1:148" ht="18" customHeight="1" x14ac:dyDescent="0.25">
      <c r="A315" s="17" t="s">
        <v>48</v>
      </c>
      <c r="B315" s="21" t="s">
        <v>31</v>
      </c>
      <c r="C315" s="19" t="s">
        <v>31</v>
      </c>
      <c r="D315" s="21" t="s">
        <v>31</v>
      </c>
      <c r="E315" s="168">
        <f>SUM(E301:E314)</f>
        <v>845208</v>
      </c>
      <c r="F315" s="166"/>
      <c r="G315" s="168">
        <f>SUM(G301:G314)</f>
        <v>845208</v>
      </c>
      <c r="H315" s="168">
        <f>SUM(H301:H314)</f>
        <v>775208</v>
      </c>
      <c r="I315" s="168">
        <f>SUM(I301:I314)</f>
        <v>775208</v>
      </c>
      <c r="J315" s="168">
        <f>SUM(J301:J314)</f>
        <v>0</v>
      </c>
      <c r="M315" s="7"/>
      <c r="N315" s="7"/>
      <c r="O315" s="7"/>
    </row>
    <row r="316" spans="1:148" ht="18" customHeight="1" x14ac:dyDescent="0.25">
      <c r="A316" s="14">
        <v>802</v>
      </c>
      <c r="B316" s="20" t="s">
        <v>110</v>
      </c>
      <c r="C316" s="22" t="s">
        <v>963</v>
      </c>
      <c r="D316" s="108" t="s">
        <v>964</v>
      </c>
      <c r="E316" s="167">
        <v>195855</v>
      </c>
      <c r="F316" s="166"/>
      <c r="G316" s="167">
        <v>200638</v>
      </c>
      <c r="H316" s="167">
        <v>200638</v>
      </c>
      <c r="I316" s="167">
        <v>200638</v>
      </c>
      <c r="J316" s="167"/>
      <c r="M316" s="7"/>
      <c r="N316" s="7"/>
      <c r="O316" s="7"/>
    </row>
    <row r="317" spans="1:148" ht="18" customHeight="1" x14ac:dyDescent="0.25">
      <c r="A317" s="14">
        <v>802</v>
      </c>
      <c r="B317" s="20" t="s">
        <v>110</v>
      </c>
      <c r="C317" s="22" t="s">
        <v>965</v>
      </c>
      <c r="D317" s="108" t="s">
        <v>323</v>
      </c>
      <c r="E317" s="167">
        <v>1200</v>
      </c>
      <c r="F317" s="166"/>
      <c r="G317" s="167">
        <v>1200</v>
      </c>
      <c r="H317" s="167">
        <v>1200</v>
      </c>
      <c r="I317" s="167">
        <v>1200</v>
      </c>
      <c r="J317" s="167"/>
      <c r="M317" s="7"/>
      <c r="N317" s="7"/>
      <c r="O317" s="7"/>
    </row>
    <row r="318" spans="1:148" ht="18" customHeight="1" x14ac:dyDescent="0.25">
      <c r="A318" s="14">
        <v>802</v>
      </c>
      <c r="B318" s="20" t="s">
        <v>110</v>
      </c>
      <c r="C318" s="22" t="s">
        <v>966</v>
      </c>
      <c r="D318" s="108" t="s">
        <v>324</v>
      </c>
      <c r="E318" s="167">
        <v>900</v>
      </c>
      <c r="F318" s="166"/>
      <c r="G318" s="167">
        <v>900</v>
      </c>
      <c r="H318" s="167">
        <v>900</v>
      </c>
      <c r="I318" s="167">
        <v>900</v>
      </c>
      <c r="J318" s="167"/>
      <c r="M318" s="7"/>
      <c r="N318" s="7"/>
      <c r="O318" s="7"/>
    </row>
    <row r="319" spans="1:148" ht="18" customHeight="1" x14ac:dyDescent="0.25">
      <c r="A319" s="14">
        <v>802</v>
      </c>
      <c r="B319" s="20" t="s">
        <v>110</v>
      </c>
      <c r="C319" s="22" t="s">
        <v>967</v>
      </c>
      <c r="D319" s="108" t="s">
        <v>325</v>
      </c>
      <c r="E319" s="167">
        <v>900</v>
      </c>
      <c r="F319" s="166"/>
      <c r="G319" s="167">
        <v>900</v>
      </c>
      <c r="H319" s="167">
        <v>900</v>
      </c>
      <c r="I319" s="167">
        <v>900</v>
      </c>
      <c r="J319" s="167"/>
      <c r="M319" s="7"/>
      <c r="N319" s="7"/>
      <c r="O319" s="7"/>
    </row>
    <row r="320" spans="1:148" ht="18" customHeight="1" x14ac:dyDescent="0.25">
      <c r="A320" s="14">
        <v>802</v>
      </c>
      <c r="B320" s="20" t="s">
        <v>110</v>
      </c>
      <c r="C320" s="22" t="s">
        <v>968</v>
      </c>
      <c r="D320" s="108" t="s">
        <v>326</v>
      </c>
      <c r="E320" s="167">
        <v>3000</v>
      </c>
      <c r="F320" s="166"/>
      <c r="G320" s="167">
        <v>3000</v>
      </c>
      <c r="H320" s="167">
        <v>3000</v>
      </c>
      <c r="I320" s="167">
        <v>3000</v>
      </c>
      <c r="J320" s="167"/>
      <c r="M320" s="7"/>
      <c r="N320" s="7"/>
      <c r="O320" s="7"/>
    </row>
    <row r="321" spans="1:148" ht="18" customHeight="1" x14ac:dyDescent="0.25">
      <c r="A321" s="14">
        <v>802</v>
      </c>
      <c r="B321" s="20" t="s">
        <v>110</v>
      </c>
      <c r="C321" s="22" t="s">
        <v>969</v>
      </c>
      <c r="D321" s="108" t="s">
        <v>327</v>
      </c>
      <c r="E321" s="167">
        <v>12000</v>
      </c>
      <c r="F321" s="166"/>
      <c r="G321" s="167">
        <v>12000</v>
      </c>
      <c r="H321" s="167">
        <v>12000</v>
      </c>
      <c r="I321" s="167">
        <v>12000</v>
      </c>
      <c r="J321" s="167"/>
      <c r="M321" s="7"/>
      <c r="N321" s="7"/>
      <c r="O321" s="7"/>
    </row>
    <row r="322" spans="1:148" ht="18" customHeight="1" x14ac:dyDescent="0.25">
      <c r="A322" s="14">
        <v>802</v>
      </c>
      <c r="B322" s="20" t="s">
        <v>110</v>
      </c>
      <c r="C322" s="22" t="s">
        <v>970</v>
      </c>
      <c r="D322" s="108" t="s">
        <v>328</v>
      </c>
      <c r="E322" s="167">
        <v>300</v>
      </c>
      <c r="F322" s="166"/>
      <c r="G322" s="167">
        <v>300</v>
      </c>
      <c r="H322" s="167">
        <v>300</v>
      </c>
      <c r="I322" s="167">
        <v>300</v>
      </c>
      <c r="J322" s="167"/>
      <c r="M322" s="7"/>
      <c r="N322" s="7"/>
      <c r="O322" s="7"/>
    </row>
    <row r="323" spans="1:148" ht="18" customHeight="1" x14ac:dyDescent="0.25">
      <c r="A323" s="14">
        <v>802</v>
      </c>
      <c r="B323" s="20" t="s">
        <v>110</v>
      </c>
      <c r="C323" s="22" t="s">
        <v>971</v>
      </c>
      <c r="D323" s="108" t="s">
        <v>1434</v>
      </c>
      <c r="E323" s="167">
        <v>1200</v>
      </c>
      <c r="F323" s="166"/>
      <c r="G323" s="167">
        <v>1200</v>
      </c>
      <c r="H323" s="167">
        <v>1200</v>
      </c>
      <c r="I323" s="167">
        <v>1200</v>
      </c>
      <c r="J323" s="167"/>
      <c r="M323" s="7"/>
      <c r="N323" s="7"/>
      <c r="O323" s="7"/>
    </row>
    <row r="324" spans="1:148" s="10" customFormat="1" ht="18" customHeight="1" x14ac:dyDescent="0.25">
      <c r="A324" s="14">
        <v>802</v>
      </c>
      <c r="B324" s="20" t="s">
        <v>110</v>
      </c>
      <c r="C324" s="22" t="s">
        <v>972</v>
      </c>
      <c r="D324" s="108" t="s">
        <v>329</v>
      </c>
      <c r="E324" s="167">
        <v>5000</v>
      </c>
      <c r="F324" s="166"/>
      <c r="G324" s="167">
        <v>5000</v>
      </c>
      <c r="H324" s="167">
        <v>5000</v>
      </c>
      <c r="I324" s="167">
        <v>5000</v>
      </c>
      <c r="J324" s="167"/>
      <c r="K324" s="217"/>
      <c r="L324" s="8"/>
      <c r="M324" s="7"/>
      <c r="N324" s="7"/>
      <c r="O324" s="7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  <c r="CF324" s="8"/>
      <c r="CG324" s="8"/>
      <c r="CH324" s="8"/>
      <c r="CI324" s="8"/>
      <c r="CJ324" s="8"/>
      <c r="CK324" s="8"/>
      <c r="CL324" s="8"/>
      <c r="CM324" s="8"/>
      <c r="CN324" s="8"/>
      <c r="CO324" s="8"/>
      <c r="CP324" s="8"/>
      <c r="CQ324" s="8"/>
      <c r="CR324" s="8"/>
      <c r="CS324" s="8"/>
      <c r="CT324" s="8"/>
      <c r="CU324" s="8"/>
      <c r="CV324" s="8"/>
      <c r="CW324" s="8"/>
      <c r="CX324" s="8"/>
      <c r="CY324" s="8"/>
      <c r="CZ324" s="8"/>
      <c r="DA324" s="8"/>
      <c r="DB324" s="8"/>
      <c r="DC324" s="8"/>
      <c r="DD324" s="8"/>
      <c r="DE324" s="8"/>
      <c r="DF324" s="8"/>
      <c r="DG324" s="8"/>
      <c r="DH324" s="8"/>
      <c r="DI324" s="8"/>
      <c r="DJ324" s="8"/>
      <c r="DK324" s="8"/>
      <c r="DL324" s="8"/>
      <c r="DM324" s="8"/>
      <c r="DN324" s="8"/>
      <c r="DO324" s="8"/>
      <c r="DP324" s="8"/>
      <c r="DQ324" s="8"/>
      <c r="DR324" s="8"/>
      <c r="DS324" s="8"/>
      <c r="DT324" s="8"/>
      <c r="DU324" s="8"/>
      <c r="DV324" s="8"/>
      <c r="DW324" s="8"/>
      <c r="DX324" s="8"/>
      <c r="DY324" s="8"/>
      <c r="DZ324" s="8"/>
      <c r="EA324" s="8"/>
      <c r="EB324" s="8"/>
      <c r="EC324" s="8"/>
      <c r="ED324" s="8"/>
      <c r="EE324" s="8"/>
      <c r="EF324" s="8"/>
      <c r="EG324" s="8"/>
      <c r="EH324" s="8"/>
      <c r="EI324" s="8"/>
      <c r="EJ324" s="8"/>
      <c r="EK324" s="8"/>
      <c r="EL324" s="8"/>
      <c r="EM324" s="8"/>
      <c r="EN324" s="8"/>
      <c r="EO324" s="8"/>
      <c r="EP324" s="8"/>
      <c r="EQ324" s="8"/>
      <c r="ER324" s="8"/>
    </row>
    <row r="325" spans="1:148" ht="18" customHeight="1" x14ac:dyDescent="0.25">
      <c r="A325" s="14">
        <v>802</v>
      </c>
      <c r="B325" s="20" t="s">
        <v>110</v>
      </c>
      <c r="C325" s="22" t="s">
        <v>973</v>
      </c>
      <c r="D325" s="108" t="s">
        <v>330</v>
      </c>
      <c r="E325" s="167">
        <v>500</v>
      </c>
      <c r="F325" s="166"/>
      <c r="G325" s="167">
        <v>500</v>
      </c>
      <c r="H325" s="167">
        <v>500</v>
      </c>
      <c r="I325" s="167">
        <v>500</v>
      </c>
      <c r="J325" s="167"/>
      <c r="M325" s="7"/>
      <c r="N325" s="7"/>
      <c r="O325" s="7"/>
    </row>
    <row r="326" spans="1:148" s="10" customFormat="1" ht="18" customHeight="1" x14ac:dyDescent="0.25">
      <c r="A326" s="14">
        <v>802</v>
      </c>
      <c r="B326" s="20" t="s">
        <v>110</v>
      </c>
      <c r="C326" s="22" t="s">
        <v>974</v>
      </c>
      <c r="D326" s="108" t="s">
        <v>331</v>
      </c>
      <c r="E326" s="167">
        <v>2600</v>
      </c>
      <c r="F326" s="166"/>
      <c r="G326" s="167">
        <v>2600</v>
      </c>
      <c r="H326" s="167">
        <v>2600</v>
      </c>
      <c r="I326" s="167">
        <v>2600</v>
      </c>
      <c r="J326" s="167"/>
      <c r="K326" s="217"/>
      <c r="L326" s="8"/>
      <c r="M326" s="7"/>
      <c r="N326" s="7"/>
      <c r="O326" s="7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  <c r="BY326" s="8"/>
      <c r="BZ326" s="8"/>
      <c r="CA326" s="8"/>
      <c r="CB326" s="8"/>
      <c r="CC326" s="8"/>
      <c r="CD326" s="8"/>
      <c r="CE326" s="8"/>
      <c r="CF326" s="8"/>
      <c r="CG326" s="8"/>
      <c r="CH326" s="8"/>
      <c r="CI326" s="8"/>
      <c r="CJ326" s="8"/>
      <c r="CK326" s="8"/>
      <c r="CL326" s="8"/>
      <c r="CM326" s="8"/>
      <c r="CN326" s="8"/>
      <c r="CO326" s="8"/>
      <c r="CP326" s="8"/>
      <c r="CQ326" s="8"/>
      <c r="CR326" s="8"/>
      <c r="CS326" s="8"/>
      <c r="CT326" s="8"/>
      <c r="CU326" s="8"/>
      <c r="CV326" s="8"/>
      <c r="CW326" s="8"/>
      <c r="CX326" s="8"/>
      <c r="CY326" s="8"/>
      <c r="CZ326" s="8"/>
      <c r="DA326" s="8"/>
      <c r="DB326" s="8"/>
      <c r="DC326" s="8"/>
      <c r="DD326" s="8"/>
      <c r="DE326" s="8"/>
      <c r="DF326" s="8"/>
      <c r="DG326" s="8"/>
      <c r="DH326" s="8"/>
      <c r="DI326" s="8"/>
      <c r="DJ326" s="8"/>
      <c r="DK326" s="8"/>
      <c r="DL326" s="8"/>
      <c r="DM326" s="8"/>
      <c r="DN326" s="8"/>
      <c r="DO326" s="8"/>
      <c r="DP326" s="8"/>
      <c r="DQ326" s="8"/>
      <c r="DR326" s="8"/>
      <c r="DS326" s="8"/>
      <c r="DT326" s="8"/>
      <c r="DU326" s="8"/>
      <c r="DV326" s="8"/>
      <c r="DW326" s="8"/>
      <c r="DX326" s="8"/>
      <c r="DY326" s="8"/>
      <c r="DZ326" s="8"/>
      <c r="EA326" s="8"/>
      <c r="EB326" s="8"/>
      <c r="EC326" s="8"/>
      <c r="ED326" s="8"/>
      <c r="EE326" s="8"/>
      <c r="EF326" s="8"/>
      <c r="EG326" s="8"/>
      <c r="EH326" s="8"/>
      <c r="EI326" s="8"/>
      <c r="EJ326" s="8"/>
      <c r="EK326" s="8"/>
      <c r="EL326" s="8"/>
      <c r="EM326" s="8"/>
      <c r="EN326" s="8"/>
      <c r="EO326" s="8"/>
      <c r="EP326" s="8"/>
      <c r="EQ326" s="8"/>
      <c r="ER326" s="8"/>
    </row>
    <row r="327" spans="1:148" ht="18" customHeight="1" x14ac:dyDescent="0.25">
      <c r="A327" s="14">
        <v>802</v>
      </c>
      <c r="B327" s="20" t="s">
        <v>110</v>
      </c>
      <c r="C327" s="22" t="s">
        <v>975</v>
      </c>
      <c r="D327" s="108" t="s">
        <v>332</v>
      </c>
      <c r="E327" s="167">
        <v>200</v>
      </c>
      <c r="F327" s="166"/>
      <c r="G327" s="167">
        <v>200</v>
      </c>
      <c r="H327" s="167">
        <v>200</v>
      </c>
      <c r="I327" s="167">
        <v>200</v>
      </c>
      <c r="J327" s="167"/>
      <c r="M327" s="7"/>
      <c r="N327" s="7"/>
      <c r="O327" s="7"/>
    </row>
    <row r="328" spans="1:148" ht="18" customHeight="1" x14ac:dyDescent="0.25">
      <c r="A328" s="14">
        <v>802</v>
      </c>
      <c r="B328" s="20" t="s">
        <v>110</v>
      </c>
      <c r="C328" s="22" t="s">
        <v>976</v>
      </c>
      <c r="D328" s="108" t="s">
        <v>1435</v>
      </c>
      <c r="E328" s="167">
        <v>130000</v>
      </c>
      <c r="F328" s="166"/>
      <c r="G328" s="167">
        <v>130000</v>
      </c>
      <c r="H328" s="167">
        <v>145000</v>
      </c>
      <c r="I328" s="167">
        <v>145000</v>
      </c>
      <c r="J328" s="167"/>
      <c r="M328" s="7"/>
      <c r="N328" s="7"/>
      <c r="O328" s="7"/>
    </row>
    <row r="329" spans="1:148" ht="18" customHeight="1" x14ac:dyDescent="0.25">
      <c r="A329" s="14">
        <v>802</v>
      </c>
      <c r="B329" s="20" t="s">
        <v>110</v>
      </c>
      <c r="C329" s="22" t="s">
        <v>977</v>
      </c>
      <c r="D329" s="108" t="s">
        <v>333</v>
      </c>
      <c r="E329" s="167">
        <v>5000</v>
      </c>
      <c r="F329" s="166"/>
      <c r="G329" s="167">
        <v>5000</v>
      </c>
      <c r="H329" s="167">
        <v>5000</v>
      </c>
      <c r="I329" s="167">
        <v>5000</v>
      </c>
      <c r="J329" s="167"/>
      <c r="M329" s="7"/>
      <c r="N329" s="7"/>
      <c r="O329" s="7"/>
    </row>
    <row r="330" spans="1:148" ht="18" customHeight="1" x14ac:dyDescent="0.25">
      <c r="A330" s="14">
        <v>802</v>
      </c>
      <c r="B330" s="20" t="s">
        <v>110</v>
      </c>
      <c r="C330" s="22" t="s">
        <v>978</v>
      </c>
      <c r="D330" s="108" t="s">
        <v>334</v>
      </c>
      <c r="E330" s="167">
        <v>1000</v>
      </c>
      <c r="F330" s="166"/>
      <c r="G330" s="167">
        <v>1000</v>
      </c>
      <c r="H330" s="167">
        <v>1000</v>
      </c>
      <c r="I330" s="167">
        <v>1000</v>
      </c>
      <c r="J330" s="167"/>
      <c r="M330" s="7"/>
      <c r="N330" s="7"/>
      <c r="O330" s="7"/>
    </row>
    <row r="331" spans="1:148" ht="18" customHeight="1" x14ac:dyDescent="0.25">
      <c r="A331" s="14">
        <v>802</v>
      </c>
      <c r="B331" s="20" t="s">
        <v>110</v>
      </c>
      <c r="C331" s="22" t="s">
        <v>979</v>
      </c>
      <c r="D331" s="108" t="s">
        <v>335</v>
      </c>
      <c r="E331" s="167">
        <v>7500</v>
      </c>
      <c r="F331" s="166"/>
      <c r="G331" s="167">
        <v>7500</v>
      </c>
      <c r="H331" s="167">
        <v>7500</v>
      </c>
      <c r="I331" s="167">
        <v>7500</v>
      </c>
      <c r="J331" s="167"/>
      <c r="M331" s="7"/>
      <c r="N331" s="7"/>
      <c r="O331" s="7"/>
    </row>
    <row r="332" spans="1:148" ht="18" customHeight="1" x14ac:dyDescent="0.25">
      <c r="A332" s="14">
        <v>802</v>
      </c>
      <c r="B332" s="20" t="s">
        <v>110</v>
      </c>
      <c r="C332" s="22" t="s">
        <v>980</v>
      </c>
      <c r="D332" s="108" t="s">
        <v>336</v>
      </c>
      <c r="E332" s="167">
        <v>5000</v>
      </c>
      <c r="F332" s="166"/>
      <c r="G332" s="167">
        <v>5000</v>
      </c>
      <c r="H332" s="167">
        <v>5000</v>
      </c>
      <c r="I332" s="167">
        <v>5000</v>
      </c>
      <c r="J332" s="167"/>
      <c r="M332" s="7"/>
      <c r="N332" s="7"/>
      <c r="O332" s="7"/>
    </row>
    <row r="333" spans="1:148" ht="18" customHeight="1" x14ac:dyDescent="0.25">
      <c r="A333" s="17" t="s">
        <v>111</v>
      </c>
      <c r="B333" s="21" t="s">
        <v>31</v>
      </c>
      <c r="C333" s="19" t="s">
        <v>31</v>
      </c>
      <c r="D333" s="21" t="s">
        <v>31</v>
      </c>
      <c r="E333" s="168">
        <f>SUM(E316:E332)</f>
        <v>372155</v>
      </c>
      <c r="F333" s="166"/>
      <c r="G333" s="168">
        <f t="shared" ref="G333:J333" si="15">SUM(G316:G332)</f>
        <v>376938</v>
      </c>
      <c r="H333" s="168">
        <f>SUM(H316:H332)</f>
        <v>391938</v>
      </c>
      <c r="I333" s="168">
        <f t="shared" si="15"/>
        <v>391938</v>
      </c>
      <c r="J333" s="168">
        <f t="shared" si="15"/>
        <v>0</v>
      </c>
      <c r="M333" s="7"/>
      <c r="N333" s="7"/>
      <c r="O333" s="7"/>
    </row>
    <row r="334" spans="1:148" ht="18" customHeight="1" x14ac:dyDescent="0.25">
      <c r="A334" s="150"/>
      <c r="B334" s="153" t="s">
        <v>1290</v>
      </c>
      <c r="C334" s="152"/>
      <c r="D334" s="153"/>
      <c r="E334" s="169">
        <f>+(E333+E315+E300+E290+E275+E270+E266++E260+E242+E233+E225+E215+E205+E195+E161+E151+E144+E106+E100+E95+E81+E72+E60+E52+E37+E26+E264)</f>
        <v>15382344</v>
      </c>
      <c r="F334" s="166"/>
      <c r="G334" s="169">
        <f>+(G333+G315+G300+G290+G275+G270+G266++G260+G242+G233+G225+G215+G205+G195+G161+G151+G144+G106+G100+G95+G81+G72+G60+G52+G37+G26+G264)</f>
        <v>16258937.949999999</v>
      </c>
      <c r="H334" s="169">
        <f>+(H333+H315+H300+H290+H275+H270+H266++H260+H242+H233+H225+H215+H205+H195+H161+H151+H144+H106+H100+H95+H81+H72+H60+H52+H37+H26+H264)</f>
        <v>15540357.949999999</v>
      </c>
      <c r="I334" s="169">
        <f>+(I333+I315+I300+I290+I275+I270+I266++I260+I242+I233+I225+I215+I205+I195+I161+I151+I144+I106+I100+I95+I81+I72+I60+I52+I37+I26+I264)</f>
        <v>15540357.949999999</v>
      </c>
      <c r="J334" s="169">
        <f>+(J333+J315+J300+J290+J275+J270+J266++J260+J242+J233+J225+J215+J205+J195+J161+J151+J144+J106+J100+J95+J81+J72+J60+J52+J37+J26+J264)</f>
        <v>0</v>
      </c>
      <c r="M334" s="7"/>
      <c r="N334" s="7"/>
      <c r="O334" s="7"/>
    </row>
    <row r="335" spans="1:148" ht="18" customHeight="1" x14ac:dyDescent="0.25">
      <c r="A335" s="154"/>
      <c r="B335" s="155"/>
      <c r="C335" s="156"/>
      <c r="D335" s="155"/>
      <c r="E335" s="166"/>
      <c r="F335" s="166"/>
      <c r="G335" s="166"/>
      <c r="H335" s="166"/>
      <c r="I335" s="166"/>
      <c r="J335" s="166"/>
      <c r="M335" s="7"/>
      <c r="N335" s="7"/>
      <c r="O335" s="7"/>
    </row>
    <row r="336" spans="1:148" ht="18" customHeight="1" x14ac:dyDescent="0.25">
      <c r="A336" s="14">
        <v>902</v>
      </c>
      <c r="B336" s="15" t="s">
        <v>66</v>
      </c>
      <c r="C336" s="262" t="s">
        <v>1218</v>
      </c>
      <c r="D336" s="263" t="s">
        <v>342</v>
      </c>
      <c r="E336" s="212">
        <v>50000</v>
      </c>
      <c r="F336" s="213"/>
      <c r="G336" s="212">
        <v>50000</v>
      </c>
      <c r="H336" s="264">
        <v>65000</v>
      </c>
      <c r="I336" s="167">
        <v>65000</v>
      </c>
      <c r="J336" s="167"/>
      <c r="M336" s="7"/>
      <c r="N336" s="7"/>
      <c r="O336" s="7"/>
    </row>
    <row r="337" spans="1:148" ht="18" customHeight="1" x14ac:dyDescent="0.25">
      <c r="A337" s="14"/>
      <c r="B337" s="15"/>
      <c r="C337" s="262" t="s">
        <v>1220</v>
      </c>
      <c r="D337" s="263" t="s">
        <v>1351</v>
      </c>
      <c r="E337" s="212">
        <v>40000</v>
      </c>
      <c r="F337" s="213"/>
      <c r="G337" s="212">
        <f>'Salary and Benefits Master'!$Z$139</f>
        <v>225874.36153846161</v>
      </c>
      <c r="H337" s="264">
        <v>40000</v>
      </c>
      <c r="I337" s="167">
        <v>40000</v>
      </c>
      <c r="J337" s="167"/>
      <c r="M337" s="7"/>
      <c r="N337" s="7"/>
      <c r="O337" s="7"/>
    </row>
    <row r="338" spans="1:148" ht="18" customHeight="1" x14ac:dyDescent="0.25">
      <c r="A338" s="14"/>
      <c r="B338" s="15"/>
      <c r="C338" s="262" t="s">
        <v>1158</v>
      </c>
      <c r="D338" s="211" t="s">
        <v>1367</v>
      </c>
      <c r="E338" s="264">
        <v>34415</v>
      </c>
      <c r="F338" s="213"/>
      <c r="G338" s="264">
        <f>'Salary and Benefits Master'!$Z$81</f>
        <v>207846.41692307696</v>
      </c>
      <c r="H338" s="264">
        <v>35000</v>
      </c>
      <c r="I338" s="167">
        <v>35000</v>
      </c>
      <c r="J338" s="167"/>
      <c r="M338" s="7"/>
      <c r="N338" s="7"/>
      <c r="O338" s="7"/>
    </row>
    <row r="339" spans="1:148" ht="18" customHeight="1" x14ac:dyDescent="0.25">
      <c r="A339" s="14"/>
      <c r="B339" s="15"/>
      <c r="C339" s="22" t="s">
        <v>1059</v>
      </c>
      <c r="D339" s="211" t="s">
        <v>1369</v>
      </c>
      <c r="E339" s="264">
        <v>136558</v>
      </c>
      <c r="F339" s="213"/>
      <c r="G339" s="264">
        <v>139745</v>
      </c>
      <c r="H339" s="264">
        <v>139745</v>
      </c>
      <c r="I339" s="167">
        <v>139745</v>
      </c>
      <c r="J339" s="167"/>
      <c r="M339" s="7"/>
      <c r="N339" s="7"/>
      <c r="O339" s="7"/>
    </row>
    <row r="340" spans="1:148" ht="18" customHeight="1" x14ac:dyDescent="0.25">
      <c r="A340" s="17" t="s">
        <v>57</v>
      </c>
      <c r="B340" s="18"/>
      <c r="C340" s="180"/>
      <c r="D340" s="181"/>
      <c r="E340" s="268">
        <f>SUM(E336:E339)</f>
        <v>260973</v>
      </c>
      <c r="F340" s="213"/>
      <c r="G340" s="268">
        <f t="shared" ref="G340" si="16">SUM(G336:G339)</f>
        <v>623465.7784615386</v>
      </c>
      <c r="H340" s="168">
        <f>SUM(H336:H339)</f>
        <v>279745</v>
      </c>
      <c r="I340" s="168">
        <f>SUM(I336:I339)</f>
        <v>279745</v>
      </c>
      <c r="J340" s="168">
        <f t="shared" ref="I340:J340" si="17">SUM(J336:J338)</f>
        <v>0</v>
      </c>
      <c r="M340" s="7"/>
      <c r="N340" s="7"/>
      <c r="O340" s="7"/>
    </row>
    <row r="341" spans="1:148" ht="18" customHeight="1" x14ac:dyDescent="0.25">
      <c r="A341" s="14">
        <v>903</v>
      </c>
      <c r="B341" s="15" t="s">
        <v>65</v>
      </c>
      <c r="C341" s="262" t="s">
        <v>1216</v>
      </c>
      <c r="D341" s="263" t="s">
        <v>821</v>
      </c>
      <c r="E341" s="212">
        <v>3120000</v>
      </c>
      <c r="F341" s="213"/>
      <c r="G341" s="212">
        <f>'Salary and Benefits Master'!$V$141</f>
        <v>1786076.0148</v>
      </c>
      <c r="H341" s="264">
        <f>'Salary and Benefits Master'!$V$141</f>
        <v>1786076.0148</v>
      </c>
      <c r="I341" s="167">
        <v>1786076.0148</v>
      </c>
      <c r="J341" s="167"/>
      <c r="M341" s="7"/>
      <c r="N341" s="7"/>
      <c r="O341" s="7"/>
    </row>
    <row r="342" spans="1:148" ht="18" customHeight="1" x14ac:dyDescent="0.25">
      <c r="A342" s="14"/>
      <c r="B342" s="15"/>
      <c r="C342" s="262"/>
      <c r="D342" s="263" t="s">
        <v>820</v>
      </c>
      <c r="E342" s="212"/>
      <c r="F342" s="213"/>
      <c r="G342" s="212">
        <v>1004998</v>
      </c>
      <c r="H342" s="264">
        <v>1004998</v>
      </c>
      <c r="I342" s="167">
        <v>1004998</v>
      </c>
      <c r="J342" s="167"/>
      <c r="M342" s="7"/>
      <c r="N342" s="7"/>
      <c r="O342" s="7"/>
    </row>
    <row r="343" spans="1:148" ht="18" customHeight="1" x14ac:dyDescent="0.25">
      <c r="A343" s="14"/>
      <c r="B343" s="15" t="str">
        <f t="shared" ref="B343:B346" si="18">$B$341</f>
        <v>Employee Insurances</v>
      </c>
      <c r="C343" s="262" t="s">
        <v>1217</v>
      </c>
      <c r="D343" s="263" t="s">
        <v>345</v>
      </c>
      <c r="E343" s="212">
        <v>50000</v>
      </c>
      <c r="F343" s="213"/>
      <c r="G343" s="212">
        <f>'Salary and Benefits Master'!$X$141</f>
        <v>54000</v>
      </c>
      <c r="H343" s="264">
        <f>'Salary and Benefits Master'!$X$141</f>
        <v>54000</v>
      </c>
      <c r="I343" s="167">
        <v>54000</v>
      </c>
      <c r="J343" s="167"/>
      <c r="M343" s="7"/>
      <c r="N343" s="7"/>
      <c r="O343" s="7"/>
    </row>
    <row r="344" spans="1:148" ht="18" customHeight="1" x14ac:dyDescent="0.25">
      <c r="A344" s="14"/>
      <c r="B344" s="15" t="str">
        <f t="shared" si="18"/>
        <v>Employee Insurances</v>
      </c>
      <c r="C344" s="262" t="s">
        <v>1219</v>
      </c>
      <c r="D344" s="263" t="s">
        <v>346</v>
      </c>
      <c r="E344" s="212">
        <v>50000</v>
      </c>
      <c r="F344" s="213"/>
      <c r="G344" s="212">
        <v>50000</v>
      </c>
      <c r="H344" s="264">
        <v>50000</v>
      </c>
      <c r="I344" s="167">
        <v>50000</v>
      </c>
      <c r="J344" s="167"/>
      <c r="M344" s="7"/>
      <c r="N344" s="7"/>
      <c r="O344" s="7"/>
    </row>
    <row r="345" spans="1:148" ht="18" customHeight="1" x14ac:dyDescent="0.25">
      <c r="A345" s="14"/>
      <c r="B345" s="15" t="str">
        <f t="shared" si="18"/>
        <v>Employee Insurances</v>
      </c>
      <c r="C345" s="262" t="s">
        <v>1221</v>
      </c>
      <c r="D345" s="263" t="s">
        <v>347</v>
      </c>
      <c r="E345" s="212">
        <v>100000</v>
      </c>
      <c r="F345" s="213"/>
      <c r="G345" s="212">
        <v>100000</v>
      </c>
      <c r="H345" s="264">
        <v>100000</v>
      </c>
      <c r="I345" s="167">
        <v>100000</v>
      </c>
      <c r="J345" s="167"/>
      <c r="M345" s="7"/>
      <c r="N345" s="7"/>
      <c r="O345" s="7"/>
    </row>
    <row r="346" spans="1:148" s="10" customFormat="1" ht="18" customHeight="1" x14ac:dyDescent="0.25">
      <c r="A346" s="14"/>
      <c r="B346" s="15" t="str">
        <f t="shared" si="18"/>
        <v>Employee Insurances</v>
      </c>
      <c r="C346" s="262" t="s">
        <v>1222</v>
      </c>
      <c r="D346" s="263" t="s">
        <v>348</v>
      </c>
      <c r="E346" s="212">
        <v>25000</v>
      </c>
      <c r="F346" s="213"/>
      <c r="G346" s="212">
        <v>25000</v>
      </c>
      <c r="H346" s="264">
        <v>25000</v>
      </c>
      <c r="I346" s="167">
        <v>25000</v>
      </c>
      <c r="J346" s="167"/>
      <c r="K346" s="217"/>
      <c r="L346" s="8"/>
      <c r="M346" s="7"/>
      <c r="N346" s="7"/>
      <c r="O346" s="7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  <c r="CF346" s="8"/>
      <c r="CG346" s="8"/>
      <c r="CH346" s="8"/>
      <c r="CI346" s="8"/>
      <c r="CJ346" s="8"/>
      <c r="CK346" s="8"/>
      <c r="CL346" s="8"/>
      <c r="CM346" s="8"/>
      <c r="CN346" s="8"/>
      <c r="CO346" s="8"/>
      <c r="CP346" s="8"/>
      <c r="CQ346" s="8"/>
      <c r="CR346" s="8"/>
      <c r="CS346" s="8"/>
      <c r="CT346" s="8"/>
      <c r="CU346" s="8"/>
      <c r="CV346" s="8"/>
      <c r="CW346" s="8"/>
      <c r="CX346" s="8"/>
      <c r="CY346" s="8"/>
      <c r="CZ346" s="8"/>
      <c r="DA346" s="8"/>
      <c r="DB346" s="8"/>
      <c r="DC346" s="8"/>
      <c r="DD346" s="8"/>
      <c r="DE346" s="8"/>
      <c r="DF346" s="8"/>
      <c r="DG346" s="8"/>
      <c r="DH346" s="8"/>
      <c r="DI346" s="8"/>
      <c r="DJ346" s="8"/>
      <c r="DK346" s="8"/>
      <c r="DL346" s="8"/>
      <c r="DM346" s="8"/>
      <c r="DN346" s="8"/>
      <c r="DO346" s="8"/>
      <c r="DP346" s="8"/>
      <c r="DQ346" s="8"/>
      <c r="DR346" s="8"/>
      <c r="DS346" s="8"/>
      <c r="DT346" s="8"/>
      <c r="DU346" s="8"/>
      <c r="DV346" s="8"/>
      <c r="DW346" s="8"/>
      <c r="DX346" s="8"/>
      <c r="DY346" s="8"/>
      <c r="DZ346" s="8"/>
      <c r="EA346" s="8"/>
      <c r="EB346" s="8"/>
      <c r="EC346" s="8"/>
      <c r="ED346" s="8"/>
      <c r="EE346" s="8"/>
      <c r="EF346" s="8"/>
      <c r="EG346" s="8"/>
      <c r="EH346" s="8"/>
      <c r="EI346" s="8"/>
      <c r="EJ346" s="8"/>
      <c r="EK346" s="8"/>
      <c r="EL346" s="8"/>
      <c r="EM346" s="8"/>
      <c r="EN346" s="8"/>
      <c r="EO346" s="8"/>
      <c r="EP346" s="8"/>
      <c r="EQ346" s="8"/>
      <c r="ER346" s="8"/>
    </row>
    <row r="347" spans="1:148" s="10" customFormat="1" ht="18" customHeight="1" x14ac:dyDescent="0.25">
      <c r="A347" s="14"/>
      <c r="B347" s="15"/>
      <c r="C347" s="262"/>
      <c r="D347" s="263" t="s">
        <v>1350</v>
      </c>
      <c r="E347" s="212"/>
      <c r="F347" s="213"/>
      <c r="G347" s="212">
        <v>40000</v>
      </c>
      <c r="H347" s="264">
        <v>40000</v>
      </c>
      <c r="I347" s="167">
        <v>40000</v>
      </c>
      <c r="J347" s="167"/>
      <c r="K347" s="217"/>
      <c r="L347" s="8"/>
      <c r="M347" s="7"/>
      <c r="N347" s="7"/>
      <c r="O347" s="7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  <c r="CF347" s="8"/>
      <c r="CG347" s="8"/>
      <c r="CH347" s="8"/>
      <c r="CI347" s="8"/>
      <c r="CJ347" s="8"/>
      <c r="CK347" s="8"/>
      <c r="CL347" s="8"/>
      <c r="CM347" s="8"/>
      <c r="CN347" s="8"/>
      <c r="CO347" s="8"/>
      <c r="CP347" s="8"/>
      <c r="CQ347" s="8"/>
      <c r="CR347" s="8"/>
      <c r="CS347" s="8"/>
      <c r="CT347" s="8"/>
      <c r="CU347" s="8"/>
      <c r="CV347" s="8"/>
      <c r="CW347" s="8"/>
      <c r="CX347" s="8"/>
      <c r="CY347" s="8"/>
      <c r="CZ347" s="8"/>
      <c r="DA347" s="8"/>
      <c r="DB347" s="8"/>
      <c r="DC347" s="8"/>
      <c r="DD347" s="8"/>
      <c r="DE347" s="8"/>
      <c r="DF347" s="8"/>
      <c r="DG347" s="8"/>
      <c r="DH347" s="8"/>
      <c r="DI347" s="8"/>
      <c r="DJ347" s="8"/>
      <c r="DK347" s="8"/>
      <c r="DL347" s="8"/>
      <c r="DM347" s="8"/>
      <c r="DN347" s="8"/>
      <c r="DO347" s="8"/>
      <c r="DP347" s="8"/>
      <c r="DQ347" s="8"/>
      <c r="DR347" s="8"/>
      <c r="DS347" s="8"/>
      <c r="DT347" s="8"/>
      <c r="DU347" s="8"/>
      <c r="DV347" s="8"/>
      <c r="DW347" s="8"/>
      <c r="DX347" s="8"/>
      <c r="DY347" s="8"/>
      <c r="DZ347" s="8"/>
      <c r="EA347" s="8"/>
      <c r="EB347" s="8"/>
      <c r="EC347" s="8"/>
      <c r="ED347" s="8"/>
      <c r="EE347" s="8"/>
      <c r="EF347" s="8"/>
      <c r="EG347" s="8"/>
      <c r="EH347" s="8"/>
      <c r="EI347" s="8"/>
      <c r="EJ347" s="8"/>
      <c r="EK347" s="8"/>
      <c r="EL347" s="8"/>
      <c r="EM347" s="8"/>
      <c r="EN347" s="8"/>
      <c r="EO347" s="8"/>
      <c r="EP347" s="8"/>
      <c r="EQ347" s="8"/>
      <c r="ER347" s="8"/>
    </row>
    <row r="348" spans="1:148" ht="18" customHeight="1" x14ac:dyDescent="0.25">
      <c r="A348" s="17" t="s">
        <v>58</v>
      </c>
      <c r="B348" s="18"/>
      <c r="C348" s="266"/>
      <c r="D348" s="267"/>
      <c r="E348" s="268">
        <f>SUM(E341:E346)</f>
        <v>3345000</v>
      </c>
      <c r="F348" s="213"/>
      <c r="G348" s="268">
        <f>SUM(G341:G347)</f>
        <v>3060074.0148</v>
      </c>
      <c r="H348" s="268">
        <f>SUM(H341:H347)</f>
        <v>3060074.0148</v>
      </c>
      <c r="I348" s="168">
        <f>SUM(I341:I347)</f>
        <v>3060074.0148</v>
      </c>
      <c r="J348" s="168">
        <f>SUM(J341:J346)</f>
        <v>0</v>
      </c>
      <c r="M348" s="7"/>
      <c r="N348" s="7"/>
      <c r="O348" s="7"/>
    </row>
    <row r="349" spans="1:148" ht="18" customHeight="1" x14ac:dyDescent="0.25">
      <c r="A349" s="14">
        <v>904</v>
      </c>
      <c r="B349" s="15" t="s">
        <v>59</v>
      </c>
      <c r="C349" s="262" t="s">
        <v>1224</v>
      </c>
      <c r="D349" s="263" t="s">
        <v>350</v>
      </c>
      <c r="E349" s="264">
        <v>472594</v>
      </c>
      <c r="F349" s="213"/>
      <c r="G349" s="264">
        <f>'Salary and Benefits Master'!$Q$141</f>
        <v>271459.62820000015</v>
      </c>
      <c r="H349" s="264">
        <f>'Salary and Benefits Master'!$Q$141</f>
        <v>271459.62820000015</v>
      </c>
      <c r="I349" s="167">
        <v>271459.62820000015</v>
      </c>
      <c r="J349" s="167"/>
      <c r="M349" s="7"/>
      <c r="N349" s="7"/>
      <c r="O349" s="7"/>
    </row>
    <row r="350" spans="1:148" ht="18" customHeight="1" x14ac:dyDescent="0.25">
      <c r="A350" s="14"/>
      <c r="B350" s="15"/>
      <c r="C350" s="262"/>
      <c r="D350" s="263" t="s">
        <v>815</v>
      </c>
      <c r="E350" s="264"/>
      <c r="F350" s="213"/>
      <c r="G350" s="264">
        <f>'Salary and Benefits Master'!$R$141</f>
        <v>125913.76861</v>
      </c>
      <c r="H350" s="264">
        <f>'Salary and Benefits Master'!$R$141</f>
        <v>125913.76861</v>
      </c>
      <c r="I350" s="167">
        <v>125913.76861</v>
      </c>
      <c r="J350" s="167"/>
      <c r="M350" s="7"/>
      <c r="N350" s="7"/>
      <c r="O350" s="7"/>
    </row>
    <row r="351" spans="1:148" ht="18" customHeight="1" x14ac:dyDescent="0.25">
      <c r="A351" s="17" t="s">
        <v>60</v>
      </c>
      <c r="B351" s="18"/>
      <c r="C351" s="266"/>
      <c r="D351" s="267"/>
      <c r="E351" s="268">
        <f>SUM(E349:E350)</f>
        <v>472594</v>
      </c>
      <c r="F351" s="213"/>
      <c r="G351" s="268">
        <f t="shared" ref="G351:J351" si="19">SUM(G349:G350)</f>
        <v>397373.39681000018</v>
      </c>
      <c r="H351" s="268">
        <f>SUM(H349:H350)</f>
        <v>397373.39681000018</v>
      </c>
      <c r="I351" s="168">
        <f t="shared" si="19"/>
        <v>397373.39681000018</v>
      </c>
      <c r="J351" s="168">
        <f t="shared" si="19"/>
        <v>0</v>
      </c>
      <c r="M351" s="7"/>
      <c r="N351" s="7"/>
      <c r="O351" s="7"/>
    </row>
    <row r="352" spans="1:148" ht="18" customHeight="1" x14ac:dyDescent="0.25">
      <c r="A352" s="14">
        <v>905</v>
      </c>
      <c r="B352" s="15" t="s">
        <v>61</v>
      </c>
      <c r="C352" s="262" t="s">
        <v>1018</v>
      </c>
      <c r="D352" s="263" t="s">
        <v>68</v>
      </c>
      <c r="E352" s="212">
        <v>455490</v>
      </c>
      <c r="F352" s="213"/>
      <c r="G352" s="212">
        <f>'Salary and Benefits Master'!$S$81</f>
        <v>715792.33924999996</v>
      </c>
      <c r="H352" s="264">
        <f>'Salary and Benefits Master'!$S$81</f>
        <v>715792.33924999996</v>
      </c>
      <c r="I352" s="167">
        <v>715792.33924999996</v>
      </c>
      <c r="J352" s="167"/>
      <c r="M352" s="7"/>
      <c r="N352" s="7"/>
      <c r="O352" s="7"/>
    </row>
    <row r="353" spans="1:148" s="10" customFormat="1" ht="18" customHeight="1" x14ac:dyDescent="0.25">
      <c r="A353" s="14"/>
      <c r="B353" s="15"/>
      <c r="C353" s="262" t="s">
        <v>1053</v>
      </c>
      <c r="D353" s="211" t="s">
        <v>67</v>
      </c>
      <c r="E353" s="212">
        <v>974463</v>
      </c>
      <c r="F353" s="213"/>
      <c r="G353" s="212">
        <f>'Salary and Benefits Master'!$S$139</f>
        <v>1074788.6675520006</v>
      </c>
      <c r="H353" s="264">
        <v>1074789</v>
      </c>
      <c r="I353" s="167">
        <v>1074789</v>
      </c>
      <c r="J353" s="167"/>
      <c r="K353" s="217"/>
      <c r="L353" s="8"/>
      <c r="M353" s="7"/>
      <c r="N353" s="7"/>
      <c r="O353" s="7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  <c r="CG353" s="8"/>
      <c r="CH353" s="8"/>
      <c r="CI353" s="8"/>
      <c r="CJ353" s="8"/>
      <c r="CK353" s="8"/>
      <c r="CL353" s="8"/>
      <c r="CM353" s="8"/>
      <c r="CN353" s="8"/>
      <c r="CO353" s="8"/>
      <c r="CP353" s="8"/>
      <c r="CQ353" s="8"/>
      <c r="CR353" s="8"/>
      <c r="CS353" s="8"/>
      <c r="CT353" s="8"/>
      <c r="CU353" s="8"/>
      <c r="CV353" s="8"/>
      <c r="CW353" s="8"/>
      <c r="CX353" s="8"/>
      <c r="CY353" s="8"/>
      <c r="CZ353" s="8"/>
      <c r="DA353" s="8"/>
      <c r="DB353" s="8"/>
      <c r="DC353" s="8"/>
      <c r="DD353" s="8"/>
      <c r="DE353" s="8"/>
      <c r="DF353" s="8"/>
      <c r="DG353" s="8"/>
      <c r="DH353" s="8"/>
      <c r="DI353" s="8"/>
      <c r="DJ353" s="8"/>
      <c r="DK353" s="8"/>
      <c r="DL353" s="8"/>
      <c r="DM353" s="8"/>
      <c r="DN353" s="8"/>
      <c r="DO353" s="8"/>
      <c r="DP353" s="8"/>
      <c r="DQ353" s="8"/>
      <c r="DR353" s="8"/>
      <c r="DS353" s="8"/>
      <c r="DT353" s="8"/>
      <c r="DU353" s="8"/>
      <c r="DV353" s="8"/>
      <c r="DW353" s="8"/>
      <c r="DX353" s="8"/>
      <c r="DY353" s="8"/>
      <c r="DZ353" s="8"/>
      <c r="EA353" s="8"/>
      <c r="EB353" s="8"/>
      <c r="EC353" s="8"/>
      <c r="ED353" s="8"/>
      <c r="EE353" s="8"/>
      <c r="EF353" s="8"/>
      <c r="EG353" s="8"/>
      <c r="EH353" s="8"/>
      <c r="EI353" s="8"/>
      <c r="EJ353" s="8"/>
      <c r="EK353" s="8"/>
      <c r="EL353" s="8"/>
      <c r="EM353" s="8"/>
      <c r="EN353" s="8"/>
      <c r="EO353" s="8"/>
      <c r="EP353" s="8"/>
      <c r="EQ353" s="8"/>
      <c r="ER353" s="8"/>
    </row>
    <row r="354" spans="1:148" ht="18" customHeight="1" x14ac:dyDescent="0.25">
      <c r="A354" s="14"/>
      <c r="B354" s="15"/>
      <c r="C354" s="262" t="s">
        <v>1054</v>
      </c>
      <c r="D354" s="211" t="s">
        <v>349</v>
      </c>
      <c r="E354" s="212">
        <v>294243</v>
      </c>
      <c r="F354" s="213"/>
      <c r="G354" s="212">
        <v>294243</v>
      </c>
      <c r="H354" s="264">
        <v>294243</v>
      </c>
      <c r="I354" s="167">
        <v>294243</v>
      </c>
      <c r="J354" s="167"/>
      <c r="M354" s="7"/>
      <c r="N354" s="7"/>
      <c r="O354" s="7"/>
    </row>
    <row r="355" spans="1:148" ht="18" customHeight="1" x14ac:dyDescent="0.25">
      <c r="A355" s="14"/>
      <c r="B355" s="15"/>
      <c r="C355" s="262" t="s">
        <v>1019</v>
      </c>
      <c r="D355" s="263" t="s">
        <v>349</v>
      </c>
      <c r="E355" s="212">
        <v>111296</v>
      </c>
      <c r="F355" s="213"/>
      <c r="G355" s="212">
        <v>112000</v>
      </c>
      <c r="H355" s="264">
        <v>112000</v>
      </c>
      <c r="I355" s="167">
        <v>112000</v>
      </c>
      <c r="J355" s="167"/>
      <c r="M355" s="7"/>
      <c r="N355" s="7"/>
      <c r="O355" s="7"/>
    </row>
    <row r="356" spans="1:148" ht="18" customHeight="1" x14ac:dyDescent="0.25">
      <c r="A356" s="14"/>
      <c r="B356" s="15"/>
      <c r="C356" s="262" t="s">
        <v>1157</v>
      </c>
      <c r="D356" s="211" t="s">
        <v>1314</v>
      </c>
      <c r="E356" s="264">
        <v>267773</v>
      </c>
      <c r="F356" s="213"/>
      <c r="G356" s="264">
        <v>267773</v>
      </c>
      <c r="H356" s="264">
        <v>0</v>
      </c>
      <c r="I356" s="167">
        <v>0</v>
      </c>
      <c r="J356" s="167"/>
      <c r="M356" s="7"/>
      <c r="N356" s="7"/>
      <c r="O356" s="7"/>
    </row>
    <row r="357" spans="1:148" ht="18" customHeight="1" x14ac:dyDescent="0.25">
      <c r="A357" s="17" t="s">
        <v>62</v>
      </c>
      <c r="B357" s="18"/>
      <c r="C357" s="19"/>
      <c r="D357" s="18"/>
      <c r="E357" s="168">
        <f>SUM(E352:E356)</f>
        <v>2103265</v>
      </c>
      <c r="F357" s="166"/>
      <c r="G357" s="168">
        <f t="shared" ref="G357:J357" si="20">SUM(G352:G356)</f>
        <v>2464597.0068020006</v>
      </c>
      <c r="H357" s="168">
        <f>SUM(H352:H356)</f>
        <v>2196824.3392500002</v>
      </c>
      <c r="I357" s="168">
        <f t="shared" si="20"/>
        <v>2196824.3392500002</v>
      </c>
      <c r="J357" s="168">
        <f t="shared" si="20"/>
        <v>0</v>
      </c>
      <c r="M357" s="7"/>
      <c r="N357" s="7"/>
      <c r="O357" s="7"/>
    </row>
    <row r="358" spans="1:148" s="8" customFormat="1" ht="18" customHeight="1" x14ac:dyDescent="0.25">
      <c r="A358" s="150"/>
      <c r="B358" s="151" t="s">
        <v>1291</v>
      </c>
      <c r="C358" s="152"/>
      <c r="D358" s="151"/>
      <c r="E358" s="169">
        <f>+(E340+E348+E351+E357)</f>
        <v>6181832</v>
      </c>
      <c r="F358" s="166"/>
      <c r="G358" s="169">
        <f>+(G340+G348+G351+G357)</f>
        <v>6545510.1968735401</v>
      </c>
      <c r="H358" s="169">
        <f>+(H340+H348+H351+H357)</f>
        <v>5934016.75086</v>
      </c>
      <c r="I358" s="169">
        <f>+(I340+I348+I351+I357)</f>
        <v>5934016.75086</v>
      </c>
      <c r="J358" s="169">
        <f>+(J340+J348+J351+J357)</f>
        <v>0</v>
      </c>
      <c r="K358" s="251"/>
      <c r="M358" s="7"/>
      <c r="N358" s="7"/>
      <c r="O358" s="7"/>
    </row>
    <row r="359" spans="1:148" s="8" customFormat="1" ht="18" customHeight="1" x14ac:dyDescent="0.25">
      <c r="A359" s="154"/>
      <c r="B359" s="157"/>
      <c r="C359" s="156"/>
      <c r="D359" s="157"/>
      <c r="E359" s="166"/>
      <c r="F359" s="166"/>
      <c r="G359" s="166"/>
      <c r="H359" s="166"/>
      <c r="I359" s="166"/>
      <c r="J359" s="166"/>
      <c r="K359" s="217"/>
      <c r="M359" s="7"/>
      <c r="N359" s="7"/>
      <c r="O359" s="7"/>
    </row>
    <row r="360" spans="1:148" ht="18" customHeight="1" x14ac:dyDescent="0.25">
      <c r="A360" s="14">
        <v>906</v>
      </c>
      <c r="B360" s="15" t="s">
        <v>1288</v>
      </c>
      <c r="C360" s="262" t="s">
        <v>1223</v>
      </c>
      <c r="D360" s="263" t="s">
        <v>351</v>
      </c>
      <c r="E360" s="212">
        <v>520000</v>
      </c>
      <c r="F360" s="213"/>
      <c r="G360" s="212">
        <v>500000</v>
      </c>
      <c r="H360" s="212">
        <v>490000</v>
      </c>
      <c r="I360" s="167">
        <v>490000</v>
      </c>
      <c r="J360" s="167"/>
      <c r="M360" s="7"/>
      <c r="N360" s="7"/>
      <c r="O360" s="7"/>
    </row>
    <row r="361" spans="1:148" ht="18" customHeight="1" x14ac:dyDescent="0.25">
      <c r="A361" s="14"/>
      <c r="B361" s="15"/>
      <c r="C361" s="262" t="s">
        <v>1225</v>
      </c>
      <c r="D361" s="263" t="s">
        <v>352</v>
      </c>
      <c r="E361" s="212">
        <v>15000</v>
      </c>
      <c r="F361" s="213"/>
      <c r="G361" s="212">
        <v>15000</v>
      </c>
      <c r="H361" s="212">
        <v>15000</v>
      </c>
      <c r="I361" s="167">
        <v>15000</v>
      </c>
      <c r="J361" s="167"/>
      <c r="M361" s="7"/>
      <c r="N361" s="7"/>
      <c r="O361" s="7"/>
    </row>
    <row r="362" spans="1:148" s="10" customFormat="1" ht="18" customHeight="1" x14ac:dyDescent="0.25">
      <c r="A362" s="14"/>
      <c r="B362" s="15"/>
      <c r="C362" s="262" t="s">
        <v>1226</v>
      </c>
      <c r="D362" s="263" t="s">
        <v>353</v>
      </c>
      <c r="E362" s="212">
        <v>530000</v>
      </c>
      <c r="F362" s="213"/>
      <c r="G362" s="212">
        <v>423623</v>
      </c>
      <c r="H362" s="212">
        <v>423623</v>
      </c>
      <c r="I362" s="167">
        <v>423623</v>
      </c>
      <c r="J362" s="167"/>
      <c r="K362" s="217"/>
      <c r="L362" s="8"/>
      <c r="M362" s="7"/>
      <c r="N362" s="7"/>
      <c r="O362" s="7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  <c r="CG362" s="8"/>
      <c r="CH362" s="8"/>
      <c r="CI362" s="8"/>
      <c r="CJ362" s="8"/>
      <c r="CK362" s="8"/>
      <c r="CL362" s="8"/>
      <c r="CM362" s="8"/>
      <c r="CN362" s="8"/>
      <c r="CO362" s="8"/>
      <c r="CP362" s="8"/>
      <c r="CQ362" s="8"/>
      <c r="CR362" s="8"/>
      <c r="CS362" s="8"/>
      <c r="CT362" s="8"/>
      <c r="CU362" s="8"/>
      <c r="CV362" s="8"/>
      <c r="CW362" s="8"/>
      <c r="CX362" s="8"/>
      <c r="CY362" s="8"/>
      <c r="CZ362" s="8"/>
      <c r="DA362" s="8"/>
      <c r="DB362" s="8"/>
      <c r="DC362" s="8"/>
      <c r="DD362" s="8"/>
      <c r="DE362" s="8"/>
      <c r="DF362" s="8"/>
      <c r="DG362" s="8"/>
      <c r="DH362" s="8"/>
      <c r="DI362" s="8"/>
      <c r="DJ362" s="8"/>
      <c r="DK362" s="8"/>
      <c r="DL362" s="8"/>
      <c r="DM362" s="8"/>
      <c r="DN362" s="8"/>
      <c r="DO362" s="8"/>
      <c r="DP362" s="8"/>
      <c r="DQ362" s="8"/>
      <c r="DR362" s="8"/>
      <c r="DS362" s="8"/>
      <c r="DT362" s="8"/>
      <c r="DU362" s="8"/>
      <c r="DV362" s="8"/>
      <c r="DW362" s="8"/>
      <c r="DX362" s="8"/>
      <c r="DY362" s="8"/>
      <c r="DZ362" s="8"/>
      <c r="EA362" s="8"/>
      <c r="EB362" s="8"/>
      <c r="EC362" s="8"/>
      <c r="ED362" s="8"/>
      <c r="EE362" s="8"/>
      <c r="EF362" s="8"/>
      <c r="EG362" s="8"/>
      <c r="EH362" s="8"/>
      <c r="EI362" s="8"/>
      <c r="EJ362" s="8"/>
      <c r="EK362" s="8"/>
      <c r="EL362" s="8"/>
      <c r="EM362" s="8"/>
      <c r="EN362" s="8"/>
      <c r="EO362" s="8"/>
      <c r="EP362" s="8"/>
      <c r="EQ362" s="8"/>
      <c r="ER362" s="8"/>
    </row>
    <row r="363" spans="1:148" ht="18" customHeight="1" x14ac:dyDescent="0.25">
      <c r="A363" s="14"/>
      <c r="B363" s="15"/>
      <c r="C363" s="262"/>
      <c r="D363" s="263" t="s">
        <v>485</v>
      </c>
      <c r="E363" s="212"/>
      <c r="F363" s="213"/>
      <c r="G363" s="212">
        <v>107876</v>
      </c>
      <c r="H363" s="212">
        <v>107876</v>
      </c>
      <c r="I363" s="167">
        <v>107876</v>
      </c>
      <c r="J363" s="167"/>
      <c r="M363" s="7"/>
      <c r="N363" s="7"/>
      <c r="O363" s="7"/>
    </row>
    <row r="364" spans="1:148" ht="18" customHeight="1" x14ac:dyDescent="0.25">
      <c r="A364" s="14"/>
      <c r="B364" s="15"/>
      <c r="C364" s="262"/>
      <c r="D364" s="263" t="s">
        <v>486</v>
      </c>
      <c r="E364" s="212"/>
      <c r="F364" s="213"/>
      <c r="G364" s="212">
        <v>13530</v>
      </c>
      <c r="H364" s="212">
        <v>13530</v>
      </c>
      <c r="I364" s="167">
        <v>13530</v>
      </c>
      <c r="J364" s="167"/>
      <c r="M364" s="7"/>
      <c r="N364" s="7"/>
      <c r="O364" s="7"/>
    </row>
    <row r="365" spans="1:148" s="10" customFormat="1" ht="18" customHeight="1" x14ac:dyDescent="0.25">
      <c r="A365" s="17" t="s">
        <v>63</v>
      </c>
      <c r="B365" s="18"/>
      <c r="C365" s="266"/>
      <c r="D365" s="267"/>
      <c r="E365" s="268">
        <f>SUM(E360:E364)</f>
        <v>1065000</v>
      </c>
      <c r="F365" s="213"/>
      <c r="G365" s="268">
        <f t="shared" ref="G365:J365" si="21">SUM(G360:G364)</f>
        <v>1060029</v>
      </c>
      <c r="H365" s="268">
        <f>SUM(H360:H364)</f>
        <v>1050029</v>
      </c>
      <c r="I365" s="168">
        <f t="shared" si="21"/>
        <v>1050029</v>
      </c>
      <c r="J365" s="168">
        <f t="shared" si="21"/>
        <v>0</v>
      </c>
      <c r="K365" s="217"/>
      <c r="L365" s="8"/>
      <c r="M365" s="7"/>
      <c r="N365" s="7"/>
      <c r="O365" s="7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  <c r="CF365" s="8"/>
      <c r="CG365" s="8"/>
      <c r="CH365" s="8"/>
      <c r="CI365" s="8"/>
      <c r="CJ365" s="8"/>
      <c r="CK365" s="8"/>
      <c r="CL365" s="8"/>
      <c r="CM365" s="8"/>
      <c r="CN365" s="8"/>
      <c r="CO365" s="8"/>
      <c r="CP365" s="8"/>
      <c r="CQ365" s="8"/>
      <c r="CR365" s="8"/>
      <c r="CS365" s="8"/>
      <c r="CT365" s="8"/>
      <c r="CU365" s="8"/>
      <c r="CV365" s="8"/>
      <c r="CW365" s="8"/>
      <c r="CX365" s="8"/>
      <c r="CY365" s="8"/>
      <c r="CZ365" s="8"/>
      <c r="DA365" s="8"/>
      <c r="DB365" s="8"/>
      <c r="DC365" s="8"/>
      <c r="DD365" s="8"/>
      <c r="DE365" s="8"/>
      <c r="DF365" s="8"/>
      <c r="DG365" s="8"/>
      <c r="DH365" s="8"/>
      <c r="DI365" s="8"/>
      <c r="DJ365" s="8"/>
      <c r="DK365" s="8"/>
      <c r="DL365" s="8"/>
      <c r="DM365" s="8"/>
      <c r="DN365" s="8"/>
      <c r="DO365" s="8"/>
      <c r="DP365" s="8"/>
      <c r="DQ365" s="8"/>
      <c r="DR365" s="8"/>
      <c r="DS365" s="8"/>
      <c r="DT365" s="8"/>
      <c r="DU365" s="8"/>
      <c r="DV365" s="8"/>
      <c r="DW365" s="8"/>
      <c r="DX365" s="8"/>
      <c r="DY365" s="8"/>
      <c r="DZ365" s="8"/>
      <c r="EA365" s="8"/>
      <c r="EB365" s="8"/>
      <c r="EC365" s="8"/>
      <c r="ED365" s="8"/>
      <c r="EE365" s="8"/>
      <c r="EF365" s="8"/>
      <c r="EG365" s="8"/>
      <c r="EH365" s="8"/>
      <c r="EI365" s="8"/>
      <c r="EJ365" s="8"/>
      <c r="EK365" s="8"/>
      <c r="EL365" s="8"/>
      <c r="EM365" s="8"/>
      <c r="EN365" s="8"/>
      <c r="EO365" s="8"/>
      <c r="EP365" s="8"/>
      <c r="EQ365" s="8"/>
      <c r="ER365" s="8"/>
    </row>
    <row r="366" spans="1:148" s="8" customFormat="1" ht="18" customHeight="1" x14ac:dyDescent="0.25">
      <c r="A366" s="150"/>
      <c r="B366" s="151" t="s">
        <v>1288</v>
      </c>
      <c r="C366" s="269"/>
      <c r="D366" s="270"/>
      <c r="E366" s="271">
        <f>SUM(E365)</f>
        <v>1065000</v>
      </c>
      <c r="F366" s="213"/>
      <c r="G366" s="271">
        <f t="shared" ref="G366:J366" si="22">SUM(G365)</f>
        <v>1060029</v>
      </c>
      <c r="H366" s="271">
        <f t="shared" si="22"/>
        <v>1050029</v>
      </c>
      <c r="I366" s="169">
        <f t="shared" si="22"/>
        <v>1050029</v>
      </c>
      <c r="J366" s="169">
        <f t="shared" si="22"/>
        <v>0</v>
      </c>
      <c r="K366" s="217"/>
      <c r="M366" s="7"/>
      <c r="N366" s="7"/>
      <c r="O366" s="7"/>
    </row>
    <row r="367" spans="1:148" s="8" customFormat="1" ht="18" customHeight="1" x14ac:dyDescent="0.25">
      <c r="A367" s="154"/>
      <c r="B367" s="157"/>
      <c r="C367" s="182"/>
      <c r="D367" s="183"/>
      <c r="E367" s="170"/>
      <c r="F367" s="170"/>
      <c r="G367" s="170"/>
      <c r="H367" s="166"/>
      <c r="I367" s="166"/>
      <c r="J367" s="166"/>
      <c r="K367" s="217"/>
      <c r="M367" s="7"/>
      <c r="N367" s="7"/>
      <c r="O367" s="7"/>
    </row>
    <row r="368" spans="1:148" s="10" customFormat="1" ht="18" customHeight="1" x14ac:dyDescent="0.25">
      <c r="A368" s="14">
        <v>850</v>
      </c>
      <c r="B368" s="20" t="s">
        <v>112</v>
      </c>
      <c r="C368" s="262" t="s">
        <v>1243</v>
      </c>
      <c r="D368" s="211" t="s">
        <v>337</v>
      </c>
      <c r="E368" s="212">
        <v>32324</v>
      </c>
      <c r="F368" s="213"/>
      <c r="G368" s="212">
        <v>35000</v>
      </c>
      <c r="H368" s="212">
        <v>35000</v>
      </c>
      <c r="I368" s="167">
        <v>35000</v>
      </c>
      <c r="J368" s="167"/>
      <c r="K368" s="217"/>
      <c r="L368" s="8"/>
      <c r="M368" s="7"/>
      <c r="N368" s="7"/>
      <c r="O368" s="7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  <c r="CG368" s="8"/>
      <c r="CH368" s="8"/>
      <c r="CI368" s="8"/>
      <c r="CJ368" s="8"/>
      <c r="CK368" s="8"/>
      <c r="CL368" s="8"/>
      <c r="CM368" s="8"/>
      <c r="CN368" s="8"/>
      <c r="CO368" s="8"/>
      <c r="CP368" s="8"/>
      <c r="CQ368" s="8"/>
      <c r="CR368" s="8"/>
      <c r="CS368" s="8"/>
      <c r="CT368" s="8"/>
      <c r="CU368" s="8"/>
      <c r="CV368" s="8"/>
      <c r="CW368" s="8"/>
      <c r="CX368" s="8"/>
      <c r="CY368" s="8"/>
      <c r="CZ368" s="8"/>
      <c r="DA368" s="8"/>
      <c r="DB368" s="8"/>
      <c r="DC368" s="8"/>
      <c r="DD368" s="8"/>
      <c r="DE368" s="8"/>
      <c r="DF368" s="8"/>
      <c r="DG368" s="8"/>
      <c r="DH368" s="8"/>
      <c r="DI368" s="8"/>
      <c r="DJ368" s="8"/>
      <c r="DK368" s="8"/>
      <c r="DL368" s="8"/>
      <c r="DM368" s="8"/>
      <c r="DN368" s="8"/>
      <c r="DO368" s="8"/>
      <c r="DP368" s="8"/>
      <c r="DQ368" s="8"/>
      <c r="DR368" s="8"/>
      <c r="DS368" s="8"/>
      <c r="DT368" s="8"/>
      <c r="DU368" s="8"/>
      <c r="DV368" s="8"/>
      <c r="DW368" s="8"/>
      <c r="DX368" s="8"/>
      <c r="DY368" s="8"/>
      <c r="DZ368" s="8"/>
      <c r="EA368" s="8"/>
      <c r="EB368" s="8"/>
      <c r="EC368" s="8"/>
      <c r="ED368" s="8"/>
      <c r="EE368" s="8"/>
      <c r="EF368" s="8"/>
      <c r="EG368" s="8"/>
      <c r="EH368" s="8"/>
      <c r="EI368" s="8"/>
      <c r="EJ368" s="8"/>
      <c r="EK368" s="8"/>
      <c r="EL368" s="8"/>
      <c r="EM368" s="8"/>
      <c r="EN368" s="8"/>
      <c r="EO368" s="8"/>
      <c r="EP368" s="8"/>
      <c r="EQ368" s="8"/>
      <c r="ER368" s="8"/>
    </row>
    <row r="369" spans="1:148" ht="18" customHeight="1" x14ac:dyDescent="0.25">
      <c r="A369" s="14">
        <v>850</v>
      </c>
      <c r="B369" s="20" t="s">
        <v>112</v>
      </c>
      <c r="C369" s="262" t="s">
        <v>1244</v>
      </c>
      <c r="D369" s="211" t="s">
        <v>338</v>
      </c>
      <c r="E369" s="212">
        <v>0</v>
      </c>
      <c r="F369" s="213"/>
      <c r="G369" s="212"/>
      <c r="H369" s="212"/>
      <c r="I369" s="167"/>
      <c r="J369" s="167"/>
      <c r="M369" s="7"/>
      <c r="N369" s="7"/>
      <c r="O369" s="7"/>
    </row>
    <row r="370" spans="1:148" ht="18" customHeight="1" x14ac:dyDescent="0.25">
      <c r="A370" s="14">
        <v>850</v>
      </c>
      <c r="B370" s="20" t="s">
        <v>112</v>
      </c>
      <c r="C370" s="262" t="s">
        <v>1245</v>
      </c>
      <c r="D370" s="211" t="s">
        <v>418</v>
      </c>
      <c r="E370" s="212">
        <v>75000</v>
      </c>
      <c r="F370" s="213"/>
      <c r="G370" s="212">
        <v>75000</v>
      </c>
      <c r="H370" s="264">
        <v>75000</v>
      </c>
      <c r="I370" s="167">
        <v>75000</v>
      </c>
      <c r="J370" s="167"/>
      <c r="M370" s="7"/>
      <c r="N370" s="7"/>
      <c r="O370" s="7"/>
    </row>
    <row r="371" spans="1:148" s="10" customFormat="1" ht="18" customHeight="1" x14ac:dyDescent="0.25">
      <c r="A371" s="14">
        <v>850</v>
      </c>
      <c r="B371" s="20" t="s">
        <v>112</v>
      </c>
      <c r="C371" s="262" t="s">
        <v>1246</v>
      </c>
      <c r="D371" s="211" t="s">
        <v>1247</v>
      </c>
      <c r="E371" s="212">
        <v>85419</v>
      </c>
      <c r="F371" s="213"/>
      <c r="G371" s="212">
        <v>85000</v>
      </c>
      <c r="H371" s="264">
        <v>85000</v>
      </c>
      <c r="I371" s="167">
        <v>85000</v>
      </c>
      <c r="J371" s="167"/>
      <c r="K371" s="217"/>
      <c r="L371" s="8"/>
      <c r="M371" s="7"/>
      <c r="N371" s="7"/>
      <c r="O371" s="7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  <c r="BV371" s="8"/>
      <c r="BW371" s="8"/>
      <c r="BX371" s="8"/>
      <c r="BY371" s="8"/>
      <c r="BZ371" s="8"/>
      <c r="CA371" s="8"/>
      <c r="CB371" s="8"/>
      <c r="CC371" s="8"/>
      <c r="CD371" s="8"/>
      <c r="CE371" s="8"/>
      <c r="CF371" s="8"/>
      <c r="CG371" s="8"/>
      <c r="CH371" s="8"/>
      <c r="CI371" s="8"/>
      <c r="CJ371" s="8"/>
      <c r="CK371" s="8"/>
      <c r="CL371" s="8"/>
      <c r="CM371" s="8"/>
      <c r="CN371" s="8"/>
      <c r="CO371" s="8"/>
      <c r="CP371" s="8"/>
      <c r="CQ371" s="8"/>
      <c r="CR371" s="8"/>
      <c r="CS371" s="8"/>
      <c r="CT371" s="8"/>
      <c r="CU371" s="8"/>
      <c r="CV371" s="8"/>
      <c r="CW371" s="8"/>
      <c r="CX371" s="8"/>
      <c r="CY371" s="8"/>
      <c r="CZ371" s="8"/>
      <c r="DA371" s="8"/>
      <c r="DB371" s="8"/>
      <c r="DC371" s="8"/>
      <c r="DD371" s="8"/>
      <c r="DE371" s="8"/>
      <c r="DF371" s="8"/>
      <c r="DG371" s="8"/>
      <c r="DH371" s="8"/>
      <c r="DI371" s="8"/>
      <c r="DJ371" s="8"/>
      <c r="DK371" s="8"/>
      <c r="DL371" s="8"/>
      <c r="DM371" s="8"/>
      <c r="DN371" s="8"/>
      <c r="DO371" s="8"/>
      <c r="DP371" s="8"/>
      <c r="DQ371" s="8"/>
      <c r="DR371" s="8"/>
      <c r="DS371" s="8"/>
      <c r="DT371" s="8"/>
      <c r="DU371" s="8"/>
      <c r="DV371" s="8"/>
      <c r="DW371" s="8"/>
      <c r="DX371" s="8"/>
      <c r="DY371" s="8"/>
      <c r="DZ371" s="8"/>
      <c r="EA371" s="8"/>
      <c r="EB371" s="8"/>
      <c r="EC371" s="8"/>
      <c r="ED371" s="8"/>
      <c r="EE371" s="8"/>
      <c r="EF371" s="8"/>
      <c r="EG371" s="8"/>
      <c r="EH371" s="8"/>
      <c r="EI371" s="8"/>
      <c r="EJ371" s="8"/>
      <c r="EK371" s="8"/>
      <c r="EL371" s="8"/>
      <c r="EM371" s="8"/>
      <c r="EN371" s="8"/>
      <c r="EO371" s="8"/>
      <c r="EP371" s="8"/>
      <c r="EQ371" s="8"/>
      <c r="ER371" s="8"/>
    </row>
    <row r="372" spans="1:148" ht="18" customHeight="1" x14ac:dyDescent="0.25">
      <c r="A372" s="14">
        <v>850</v>
      </c>
      <c r="B372" s="20" t="s">
        <v>112</v>
      </c>
      <c r="C372" s="262" t="s">
        <v>1248</v>
      </c>
      <c r="D372" s="211" t="s">
        <v>1249</v>
      </c>
      <c r="E372" s="212">
        <v>181189</v>
      </c>
      <c r="F372" s="213"/>
      <c r="G372" s="212">
        <v>181189</v>
      </c>
      <c r="H372" s="264">
        <v>181189</v>
      </c>
      <c r="I372" s="167">
        <v>181189</v>
      </c>
      <c r="J372" s="167"/>
      <c r="M372" s="7"/>
      <c r="N372" s="7"/>
      <c r="O372" s="7"/>
    </row>
    <row r="373" spans="1:148" ht="18" customHeight="1" x14ac:dyDescent="0.25">
      <c r="A373" s="17" t="s">
        <v>113</v>
      </c>
      <c r="B373" s="21" t="s">
        <v>31</v>
      </c>
      <c r="C373" s="266"/>
      <c r="D373" s="272"/>
      <c r="E373" s="268">
        <f>SUM(E368:E372)</f>
        <v>373932</v>
      </c>
      <c r="F373" s="213"/>
      <c r="G373" s="268">
        <f t="shared" ref="G373:J373" si="23">SUM(G368:G372)</f>
        <v>376189</v>
      </c>
      <c r="H373" s="268">
        <f>SUM(H368:H372)</f>
        <v>376189</v>
      </c>
      <c r="I373" s="168">
        <f t="shared" si="23"/>
        <v>376189</v>
      </c>
      <c r="J373" s="168">
        <f t="shared" si="23"/>
        <v>0</v>
      </c>
      <c r="M373" s="7"/>
      <c r="N373" s="7"/>
      <c r="O373" s="7"/>
    </row>
    <row r="374" spans="1:148" ht="18" customHeight="1" x14ac:dyDescent="0.25">
      <c r="A374" s="14">
        <v>875</v>
      </c>
      <c r="B374" s="20" t="s">
        <v>114</v>
      </c>
      <c r="C374" s="262" t="s">
        <v>1241</v>
      </c>
      <c r="D374" s="211" t="s">
        <v>1242</v>
      </c>
      <c r="E374" s="212">
        <v>90000</v>
      </c>
      <c r="F374" s="213"/>
      <c r="G374" s="212">
        <v>155000</v>
      </c>
      <c r="H374" s="264">
        <v>50000</v>
      </c>
      <c r="I374" s="167">
        <v>50000</v>
      </c>
      <c r="J374" s="167"/>
      <c r="M374" s="7"/>
      <c r="N374" s="7"/>
      <c r="O374" s="7"/>
    </row>
    <row r="375" spans="1:148" ht="18" customHeight="1" x14ac:dyDescent="0.25">
      <c r="A375" s="14">
        <v>875</v>
      </c>
      <c r="B375" s="20" t="s">
        <v>114</v>
      </c>
      <c r="C375" s="262" t="s">
        <v>1240</v>
      </c>
      <c r="D375" s="211" t="s">
        <v>339</v>
      </c>
      <c r="E375" s="212">
        <v>15000</v>
      </c>
      <c r="F375" s="213"/>
      <c r="G375" s="212">
        <v>15367</v>
      </c>
      <c r="H375" s="264">
        <v>15367</v>
      </c>
      <c r="I375" s="167">
        <v>15367</v>
      </c>
      <c r="J375" s="167"/>
      <c r="M375" s="7"/>
      <c r="N375" s="7"/>
      <c r="O375" s="7"/>
    </row>
    <row r="376" spans="1:148" ht="18" customHeight="1" x14ac:dyDescent="0.25">
      <c r="A376" s="14"/>
      <c r="B376" s="20"/>
      <c r="C376" s="262"/>
      <c r="D376" s="211" t="s">
        <v>1313</v>
      </c>
      <c r="E376" s="212"/>
      <c r="F376" s="213"/>
      <c r="G376" s="212">
        <v>75000</v>
      </c>
      <c r="H376" s="264">
        <v>50000</v>
      </c>
      <c r="I376" s="167">
        <v>50000</v>
      </c>
      <c r="J376" s="167"/>
      <c r="M376" s="7"/>
      <c r="N376" s="7"/>
      <c r="O376" s="7"/>
    </row>
    <row r="377" spans="1:148" ht="18" customHeight="1" x14ac:dyDescent="0.25">
      <c r="A377" s="14">
        <v>875</v>
      </c>
      <c r="B377" s="20" t="s">
        <v>114</v>
      </c>
      <c r="C377" s="273"/>
      <c r="D377" s="211" t="s">
        <v>1381</v>
      </c>
      <c r="E377" s="264"/>
      <c r="F377" s="213"/>
      <c r="G377" s="264">
        <v>300000</v>
      </c>
      <c r="H377" s="264">
        <v>100000</v>
      </c>
      <c r="I377" s="167">
        <v>100000</v>
      </c>
      <c r="J377" s="167"/>
      <c r="M377" s="7"/>
      <c r="N377" s="7"/>
      <c r="O377" s="7"/>
    </row>
    <row r="378" spans="1:148" ht="18" customHeight="1" x14ac:dyDescent="0.25">
      <c r="A378" s="14">
        <v>875</v>
      </c>
      <c r="B378" s="20" t="s">
        <v>114</v>
      </c>
      <c r="C378" s="273"/>
      <c r="D378" s="211" t="s">
        <v>483</v>
      </c>
      <c r="E378" s="264"/>
      <c r="F378" s="213"/>
      <c r="G378" s="264">
        <v>50000</v>
      </c>
      <c r="H378" s="264">
        <v>50000</v>
      </c>
      <c r="I378" s="167">
        <v>50000</v>
      </c>
      <c r="J378" s="167"/>
      <c r="M378" s="7"/>
      <c r="N378" s="7"/>
      <c r="O378" s="7"/>
    </row>
    <row r="379" spans="1:148" s="10" customFormat="1" ht="18" customHeight="1" x14ac:dyDescent="0.25">
      <c r="A379" s="14">
        <v>875</v>
      </c>
      <c r="B379" s="20" t="s">
        <v>114</v>
      </c>
      <c r="C379" s="273"/>
      <c r="D379" s="211" t="s">
        <v>484</v>
      </c>
      <c r="E379" s="212"/>
      <c r="F379" s="213"/>
      <c r="G379" s="212">
        <v>46000</v>
      </c>
      <c r="H379" s="264">
        <v>15000</v>
      </c>
      <c r="I379" s="167">
        <v>15000</v>
      </c>
      <c r="J379" s="167"/>
      <c r="K379" s="217"/>
      <c r="L379" s="8"/>
      <c r="M379" s="7"/>
      <c r="N379" s="7"/>
      <c r="O379" s="7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  <c r="BV379" s="8"/>
      <c r="BW379" s="8"/>
      <c r="BX379" s="8"/>
      <c r="BY379" s="8"/>
      <c r="BZ379" s="8"/>
      <c r="CA379" s="8"/>
      <c r="CB379" s="8"/>
      <c r="CC379" s="8"/>
      <c r="CD379" s="8"/>
      <c r="CE379" s="8"/>
      <c r="CF379" s="8"/>
      <c r="CG379" s="8"/>
      <c r="CH379" s="8"/>
      <c r="CI379" s="8"/>
      <c r="CJ379" s="8"/>
      <c r="CK379" s="8"/>
      <c r="CL379" s="8"/>
      <c r="CM379" s="8"/>
      <c r="CN379" s="8"/>
      <c r="CO379" s="8"/>
      <c r="CP379" s="8"/>
      <c r="CQ379" s="8"/>
      <c r="CR379" s="8"/>
      <c r="CS379" s="8"/>
      <c r="CT379" s="8"/>
      <c r="CU379" s="8"/>
      <c r="CV379" s="8"/>
      <c r="CW379" s="8"/>
      <c r="CX379" s="8"/>
      <c r="CY379" s="8"/>
      <c r="CZ379" s="8"/>
      <c r="DA379" s="8"/>
      <c r="DB379" s="8"/>
      <c r="DC379" s="8"/>
      <c r="DD379" s="8"/>
      <c r="DE379" s="8"/>
      <c r="DF379" s="8"/>
      <c r="DG379" s="8"/>
      <c r="DH379" s="8"/>
      <c r="DI379" s="8"/>
      <c r="DJ379" s="8"/>
      <c r="DK379" s="8"/>
      <c r="DL379" s="8"/>
      <c r="DM379" s="8"/>
      <c r="DN379" s="8"/>
      <c r="DO379" s="8"/>
      <c r="DP379" s="8"/>
      <c r="DQ379" s="8"/>
      <c r="DR379" s="8"/>
      <c r="DS379" s="8"/>
      <c r="DT379" s="8"/>
      <c r="DU379" s="8"/>
      <c r="DV379" s="8"/>
      <c r="DW379" s="8"/>
      <c r="DX379" s="8"/>
      <c r="DY379" s="8"/>
      <c r="DZ379" s="8"/>
      <c r="EA379" s="8"/>
      <c r="EB379" s="8"/>
      <c r="EC379" s="8"/>
      <c r="ED379" s="8"/>
      <c r="EE379" s="8"/>
      <c r="EF379" s="8"/>
      <c r="EG379" s="8"/>
      <c r="EH379" s="8"/>
      <c r="EI379" s="8"/>
      <c r="EJ379" s="8"/>
      <c r="EK379" s="8"/>
      <c r="EL379" s="8"/>
      <c r="EM379" s="8"/>
      <c r="EN379" s="8"/>
      <c r="EO379" s="8"/>
      <c r="EP379" s="8"/>
      <c r="EQ379" s="8"/>
      <c r="ER379" s="8"/>
    </row>
    <row r="380" spans="1:148" ht="18" customHeight="1" x14ac:dyDescent="0.25">
      <c r="A380" s="17" t="s">
        <v>115</v>
      </c>
      <c r="B380" s="21" t="s">
        <v>31</v>
      </c>
      <c r="C380" s="19"/>
      <c r="D380" s="21"/>
      <c r="E380" s="168">
        <f>SUM(E374:E379)</f>
        <v>105000</v>
      </c>
      <c r="F380" s="166"/>
      <c r="G380" s="168">
        <f>SUM(G374:G379)</f>
        <v>641367</v>
      </c>
      <c r="H380" s="168">
        <f>SUM(H374:H379)</f>
        <v>280367</v>
      </c>
      <c r="I380" s="168">
        <f t="shared" ref="I380:J380" si="24">SUM(I374:I379)</f>
        <v>280367</v>
      </c>
      <c r="J380" s="168">
        <f t="shared" si="24"/>
        <v>0</v>
      </c>
      <c r="M380" s="7"/>
      <c r="N380" s="7"/>
      <c r="O380" s="7"/>
    </row>
    <row r="381" spans="1:148" ht="18" customHeight="1" x14ac:dyDescent="0.25">
      <c r="A381" s="14">
        <v>901</v>
      </c>
      <c r="B381" s="20" t="s">
        <v>116</v>
      </c>
      <c r="C381" s="22" t="s">
        <v>1250</v>
      </c>
      <c r="D381" s="108" t="s">
        <v>340</v>
      </c>
      <c r="E381" s="167">
        <v>15000</v>
      </c>
      <c r="F381" s="166"/>
      <c r="G381" s="167">
        <v>0</v>
      </c>
      <c r="H381" s="167">
        <v>0</v>
      </c>
      <c r="I381" s="167">
        <v>0</v>
      </c>
      <c r="J381" s="167"/>
      <c r="M381" s="7"/>
      <c r="N381" s="7"/>
      <c r="O381" s="7"/>
    </row>
    <row r="382" spans="1:148" s="10" customFormat="1" ht="18" customHeight="1" x14ac:dyDescent="0.25">
      <c r="A382" s="14">
        <v>901</v>
      </c>
      <c r="B382" s="20" t="s">
        <v>116</v>
      </c>
      <c r="C382" s="22" t="s">
        <v>1251</v>
      </c>
      <c r="D382" s="108" t="s">
        <v>341</v>
      </c>
      <c r="E382" s="167">
        <f>'[1]EXPENSE 20-21'!M443</f>
        <v>0</v>
      </c>
      <c r="F382" s="166"/>
      <c r="G382" s="167" t="s">
        <v>31</v>
      </c>
      <c r="H382" s="167">
        <v>5800</v>
      </c>
      <c r="I382" s="167">
        <v>5800</v>
      </c>
      <c r="J382" s="167"/>
      <c r="K382" s="217"/>
      <c r="L382" s="8"/>
      <c r="M382" s="7"/>
      <c r="N382" s="7"/>
      <c r="O382" s="7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  <c r="BV382" s="8"/>
      <c r="BW382" s="8"/>
      <c r="BX382" s="8"/>
      <c r="BY382" s="8"/>
      <c r="BZ382" s="8"/>
      <c r="CA382" s="8"/>
      <c r="CB382" s="8"/>
      <c r="CC382" s="8"/>
      <c r="CD382" s="8"/>
      <c r="CE382" s="8"/>
      <c r="CF382" s="8"/>
      <c r="CG382" s="8"/>
      <c r="CH382" s="8"/>
      <c r="CI382" s="8"/>
      <c r="CJ382" s="8"/>
      <c r="CK382" s="8"/>
      <c r="CL382" s="8"/>
      <c r="CM382" s="8"/>
      <c r="CN382" s="8"/>
      <c r="CO382" s="8"/>
      <c r="CP382" s="8"/>
      <c r="CQ382" s="8"/>
      <c r="CR382" s="8"/>
      <c r="CS382" s="8"/>
      <c r="CT382" s="8"/>
      <c r="CU382" s="8"/>
      <c r="CV382" s="8"/>
      <c r="CW382" s="8"/>
      <c r="CX382" s="8"/>
      <c r="CY382" s="8"/>
      <c r="CZ382" s="8"/>
      <c r="DA382" s="8"/>
      <c r="DB382" s="8"/>
      <c r="DC382" s="8"/>
      <c r="DD382" s="8"/>
      <c r="DE382" s="8"/>
      <c r="DF382" s="8"/>
      <c r="DG382" s="8"/>
      <c r="DH382" s="8"/>
      <c r="DI382" s="8"/>
      <c r="DJ382" s="8"/>
      <c r="DK382" s="8"/>
      <c r="DL382" s="8"/>
      <c r="DM382" s="8"/>
      <c r="DN382" s="8"/>
      <c r="DO382" s="8"/>
      <c r="DP382" s="8"/>
      <c r="DQ382" s="8"/>
      <c r="DR382" s="8"/>
      <c r="DS382" s="8"/>
      <c r="DT382" s="8"/>
      <c r="DU382" s="8"/>
      <c r="DV382" s="8"/>
      <c r="DW382" s="8"/>
      <c r="DX382" s="8"/>
      <c r="DY382" s="8"/>
      <c r="DZ382" s="8"/>
      <c r="EA382" s="8"/>
      <c r="EB382" s="8"/>
      <c r="EC382" s="8"/>
      <c r="ED382" s="8"/>
      <c r="EE382" s="8"/>
      <c r="EF382" s="8"/>
      <c r="EG382" s="8"/>
      <c r="EH382" s="8"/>
      <c r="EI382" s="8"/>
      <c r="EJ382" s="8"/>
      <c r="EK382" s="8"/>
      <c r="EL382" s="8"/>
      <c r="EM382" s="8"/>
      <c r="EN382" s="8"/>
      <c r="EO382" s="8"/>
      <c r="EP382" s="8"/>
      <c r="EQ382" s="8"/>
      <c r="ER382" s="8"/>
    </row>
    <row r="383" spans="1:148" ht="18" customHeight="1" x14ac:dyDescent="0.25">
      <c r="A383" s="17" t="s">
        <v>117</v>
      </c>
      <c r="B383" s="21" t="s">
        <v>31</v>
      </c>
      <c r="C383" s="19" t="s">
        <v>31</v>
      </c>
      <c r="D383" s="21" t="s">
        <v>31</v>
      </c>
      <c r="E383" s="168">
        <f>SUM(E381:E382)</f>
        <v>15000</v>
      </c>
      <c r="F383" s="166"/>
      <c r="G383" s="168">
        <f t="shared" ref="G383:J383" si="25">SUM(G381:G382)</f>
        <v>0</v>
      </c>
      <c r="H383" s="168">
        <f t="shared" si="25"/>
        <v>5800</v>
      </c>
      <c r="I383" s="168">
        <f t="shared" si="25"/>
        <v>5800</v>
      </c>
      <c r="J383" s="168">
        <f t="shared" si="25"/>
        <v>0</v>
      </c>
      <c r="M383" s="7"/>
      <c r="N383" s="7"/>
      <c r="O383" s="7"/>
    </row>
    <row r="384" spans="1:148" s="8" customFormat="1" ht="18" customHeight="1" x14ac:dyDescent="0.25">
      <c r="A384" s="150"/>
      <c r="B384" s="153" t="s">
        <v>1293</v>
      </c>
      <c r="C384" s="152"/>
      <c r="D384" s="153"/>
      <c r="E384" s="169">
        <f>+(E383+E380+E373)</f>
        <v>493932</v>
      </c>
      <c r="F384" s="166"/>
      <c r="G384" s="169">
        <f t="shared" ref="G384:J384" si="26">+(G383+G380+G373)</f>
        <v>1017556</v>
      </c>
      <c r="H384" s="169">
        <f t="shared" si="26"/>
        <v>662356</v>
      </c>
      <c r="I384" s="169">
        <f t="shared" si="26"/>
        <v>662356</v>
      </c>
      <c r="J384" s="169">
        <f t="shared" si="26"/>
        <v>0</v>
      </c>
      <c r="K384" s="217"/>
      <c r="M384" s="7"/>
      <c r="N384" s="7"/>
      <c r="O384" s="7"/>
    </row>
    <row r="385" spans="1:15" s="8" customFormat="1" ht="18" customHeight="1" x14ac:dyDescent="0.25">
      <c r="A385" s="154"/>
      <c r="B385" s="155"/>
      <c r="C385" s="156"/>
      <c r="D385" s="155"/>
      <c r="E385" s="166"/>
      <c r="F385" s="166"/>
      <c r="G385" s="166"/>
      <c r="H385" s="166"/>
      <c r="I385" s="166"/>
      <c r="J385" s="166"/>
      <c r="K385" s="217"/>
      <c r="M385" s="7"/>
      <c r="N385" s="7"/>
      <c r="O385" s="7"/>
    </row>
    <row r="386" spans="1:15" ht="18" customHeight="1" x14ac:dyDescent="0.25">
      <c r="A386" s="14">
        <v>200</v>
      </c>
      <c r="B386" s="15" t="s">
        <v>8</v>
      </c>
      <c r="C386" s="22" t="s">
        <v>9</v>
      </c>
      <c r="D386" s="85" t="s">
        <v>10</v>
      </c>
      <c r="E386" s="167">
        <v>0</v>
      </c>
      <c r="F386" s="166"/>
      <c r="G386" s="167"/>
      <c r="H386" s="167"/>
      <c r="I386" s="167"/>
      <c r="J386" s="167"/>
    </row>
    <row r="387" spans="1:15" ht="18" customHeight="1" x14ac:dyDescent="0.25">
      <c r="A387" s="14">
        <v>200</v>
      </c>
      <c r="B387" s="15" t="s">
        <v>8</v>
      </c>
      <c r="C387" s="22" t="s">
        <v>909</v>
      </c>
      <c r="D387" s="85" t="s">
        <v>11</v>
      </c>
      <c r="E387" s="167">
        <v>0</v>
      </c>
      <c r="F387" s="166"/>
      <c r="G387" s="167"/>
      <c r="H387" s="167"/>
      <c r="I387" s="167"/>
      <c r="J387" s="167"/>
    </row>
    <row r="388" spans="1:15" ht="18" customHeight="1" x14ac:dyDescent="0.25">
      <c r="A388" s="14">
        <v>200</v>
      </c>
      <c r="B388" s="15" t="s">
        <v>8</v>
      </c>
      <c r="C388" s="22" t="s">
        <v>910</v>
      </c>
      <c r="D388" s="85" t="s">
        <v>12</v>
      </c>
      <c r="E388" s="167">
        <v>5382</v>
      </c>
      <c r="F388" s="166"/>
      <c r="G388" s="167">
        <v>5500</v>
      </c>
      <c r="H388" s="167">
        <v>5500</v>
      </c>
      <c r="I388" s="167">
        <v>5500</v>
      </c>
      <c r="J388" s="167"/>
    </row>
    <row r="389" spans="1:15" ht="18" customHeight="1" x14ac:dyDescent="0.25">
      <c r="A389" s="14">
        <v>200</v>
      </c>
      <c r="B389" s="15" t="s">
        <v>8</v>
      </c>
      <c r="C389" s="262" t="s">
        <v>911</v>
      </c>
      <c r="D389" s="263" t="s">
        <v>13</v>
      </c>
      <c r="E389" s="212">
        <v>120000</v>
      </c>
      <c r="F389" s="213"/>
      <c r="G389" s="212">
        <v>124800</v>
      </c>
      <c r="H389" s="212">
        <v>126500</v>
      </c>
      <c r="I389" s="167">
        <v>126500</v>
      </c>
      <c r="J389" s="167"/>
      <c r="M389" s="67" t="s">
        <v>31</v>
      </c>
    </row>
    <row r="390" spans="1:15" ht="18" customHeight="1" x14ac:dyDescent="0.25">
      <c r="A390" s="14">
        <v>200</v>
      </c>
      <c r="B390" s="15" t="s">
        <v>8</v>
      </c>
      <c r="C390" s="22" t="s">
        <v>912</v>
      </c>
      <c r="D390" s="85" t="s">
        <v>14</v>
      </c>
      <c r="E390" s="167">
        <v>64688</v>
      </c>
      <c r="F390" s="166"/>
      <c r="G390" s="167">
        <v>75000</v>
      </c>
      <c r="H390" s="167">
        <v>50000</v>
      </c>
      <c r="I390" s="167">
        <v>50000</v>
      </c>
      <c r="J390" s="167"/>
      <c r="M390" s="67" t="s">
        <v>31</v>
      </c>
    </row>
    <row r="391" spans="1:15" ht="18" customHeight="1" x14ac:dyDescent="0.25">
      <c r="A391" s="14">
        <v>200</v>
      </c>
      <c r="B391" s="15" t="s">
        <v>7</v>
      </c>
      <c r="C391" s="22" t="s">
        <v>913</v>
      </c>
      <c r="D391" s="85" t="s">
        <v>1406</v>
      </c>
      <c r="E391" s="167">
        <v>15000</v>
      </c>
      <c r="F391" s="166"/>
      <c r="G391" s="167"/>
      <c r="H391" s="167">
        <v>19000</v>
      </c>
      <c r="I391" s="167">
        <v>19000</v>
      </c>
      <c r="J391" s="167"/>
    </row>
    <row r="392" spans="1:15" ht="18" customHeight="1" x14ac:dyDescent="0.25">
      <c r="A392" s="14">
        <v>200</v>
      </c>
      <c r="B392" s="15" t="s">
        <v>8</v>
      </c>
      <c r="C392" s="22" t="s">
        <v>914</v>
      </c>
      <c r="D392" s="85" t="s">
        <v>15</v>
      </c>
      <c r="E392" s="167">
        <v>50000</v>
      </c>
      <c r="F392" s="166"/>
      <c r="G392" s="167">
        <v>50000</v>
      </c>
      <c r="H392" s="167">
        <v>25000</v>
      </c>
      <c r="I392" s="167">
        <v>25000</v>
      </c>
      <c r="J392" s="167"/>
      <c r="M392" s="67" t="s">
        <v>31</v>
      </c>
    </row>
    <row r="393" spans="1:15" ht="18" customHeight="1" x14ac:dyDescent="0.25">
      <c r="A393" s="14">
        <v>200</v>
      </c>
      <c r="B393" s="15" t="s">
        <v>8</v>
      </c>
      <c r="C393" s="22" t="s">
        <v>915</v>
      </c>
      <c r="D393" s="85" t="s">
        <v>16</v>
      </c>
      <c r="E393" s="167">
        <v>50669</v>
      </c>
      <c r="F393" s="166"/>
      <c r="G393" s="167">
        <v>25000</v>
      </c>
      <c r="H393" s="167">
        <v>25000</v>
      </c>
      <c r="I393" s="167">
        <v>25000</v>
      </c>
      <c r="J393" s="167"/>
    </row>
    <row r="394" spans="1:15" ht="18" customHeight="1" x14ac:dyDescent="0.25">
      <c r="A394" s="14">
        <v>200</v>
      </c>
      <c r="B394" s="15" t="s">
        <v>8</v>
      </c>
      <c r="C394" s="22" t="s">
        <v>953</v>
      </c>
      <c r="D394" s="108" t="s">
        <v>274</v>
      </c>
      <c r="E394" s="167">
        <v>60000</v>
      </c>
      <c r="F394" s="166"/>
      <c r="G394" s="167">
        <v>50000</v>
      </c>
      <c r="H394" s="167">
        <v>50000</v>
      </c>
      <c r="I394" s="167">
        <v>50000</v>
      </c>
      <c r="J394" s="167"/>
    </row>
    <row r="395" spans="1:15" ht="18" customHeight="1" x14ac:dyDescent="0.25">
      <c r="A395" s="14"/>
      <c r="B395" s="15"/>
      <c r="C395" s="22"/>
      <c r="D395" s="108" t="s">
        <v>1348</v>
      </c>
      <c r="E395" s="167"/>
      <c r="F395" s="166"/>
      <c r="G395" s="167">
        <v>18000</v>
      </c>
      <c r="H395" s="167">
        <v>18000</v>
      </c>
      <c r="I395" s="167">
        <v>18000</v>
      </c>
      <c r="J395" s="167"/>
    </row>
    <row r="396" spans="1:15" ht="18" customHeight="1" x14ac:dyDescent="0.25">
      <c r="A396" s="14"/>
      <c r="B396" s="15"/>
      <c r="C396" s="22"/>
      <c r="D396" s="108" t="s">
        <v>1373</v>
      </c>
      <c r="E396" s="167"/>
      <c r="F396" s="166"/>
      <c r="G396" s="167">
        <v>70000</v>
      </c>
      <c r="H396" s="167">
        <v>70000</v>
      </c>
      <c r="I396" s="167">
        <v>70000</v>
      </c>
      <c r="J396" s="167"/>
    </row>
    <row r="397" spans="1:15" ht="18" customHeight="1" x14ac:dyDescent="0.25">
      <c r="A397" s="17" t="s">
        <v>17</v>
      </c>
      <c r="B397" s="18"/>
      <c r="C397" s="19"/>
      <c r="D397" s="18"/>
      <c r="E397" s="168">
        <f>SUM(E386:E394)</f>
        <v>365739</v>
      </c>
      <c r="F397" s="166"/>
      <c r="G397" s="168">
        <f>SUM(G386:G396)</f>
        <v>418300</v>
      </c>
      <c r="H397" s="168">
        <f>SUM(H388:H396)</f>
        <v>389000</v>
      </c>
      <c r="I397" s="168">
        <f>SUM(I388:I396)</f>
        <v>389000</v>
      </c>
      <c r="J397" s="168">
        <f t="shared" ref="I397:J397" si="27">SUM(J386:J394)</f>
        <v>0</v>
      </c>
    </row>
    <row r="398" spans="1:15" ht="18" customHeight="1" x14ac:dyDescent="0.25">
      <c r="A398" s="150"/>
      <c r="B398" s="151" t="s">
        <v>1294</v>
      </c>
      <c r="C398" s="152"/>
      <c r="D398" s="151"/>
      <c r="E398" s="169">
        <f>SUM(E397)</f>
        <v>365739</v>
      </c>
      <c r="F398" s="166"/>
      <c r="G398" s="169">
        <f t="shared" ref="G398:J398" si="28">SUM(G397)</f>
        <v>418300</v>
      </c>
      <c r="H398" s="169">
        <f t="shared" si="28"/>
        <v>389000</v>
      </c>
      <c r="I398" s="169">
        <f t="shared" si="28"/>
        <v>389000</v>
      </c>
      <c r="J398" s="169">
        <f t="shared" si="28"/>
        <v>0</v>
      </c>
    </row>
    <row r="399" spans="1:15" ht="18" customHeight="1" x14ac:dyDescent="0.25">
      <c r="A399" s="154"/>
      <c r="B399" s="157"/>
      <c r="C399" s="156"/>
      <c r="D399" s="157"/>
      <c r="E399" s="166"/>
      <c r="F399" s="166"/>
      <c r="G399" s="166"/>
      <c r="H399" s="166"/>
      <c r="I399" s="166"/>
      <c r="J399" s="166"/>
    </row>
    <row r="400" spans="1:15" ht="18" customHeight="1" x14ac:dyDescent="0.25">
      <c r="A400" s="14">
        <v>215</v>
      </c>
      <c r="B400" s="20" t="s">
        <v>89</v>
      </c>
      <c r="C400" s="22" t="s">
        <v>1228</v>
      </c>
      <c r="D400" s="108" t="s">
        <v>1229</v>
      </c>
      <c r="E400" s="167">
        <v>250000</v>
      </c>
      <c r="F400" s="166"/>
      <c r="G400" s="171">
        <v>250000</v>
      </c>
      <c r="H400" s="171">
        <v>250000</v>
      </c>
      <c r="I400" s="167">
        <v>250000</v>
      </c>
      <c r="J400" s="167"/>
    </row>
    <row r="401" spans="1:10" ht="18" customHeight="1" x14ac:dyDescent="0.25">
      <c r="A401" s="14">
        <v>215</v>
      </c>
      <c r="B401" s="20" t="s">
        <v>89</v>
      </c>
      <c r="C401" s="22" t="s">
        <v>1230</v>
      </c>
      <c r="D401" s="108" t="s">
        <v>143</v>
      </c>
      <c r="E401" s="167">
        <v>280000</v>
      </c>
      <c r="F401" s="166"/>
      <c r="G401" s="171">
        <v>280000</v>
      </c>
      <c r="H401" s="171">
        <v>280000</v>
      </c>
      <c r="I401" s="167">
        <v>280000</v>
      </c>
      <c r="J401" s="167"/>
    </row>
    <row r="402" spans="1:10" ht="18" customHeight="1" x14ac:dyDescent="0.25">
      <c r="A402" s="14">
        <v>215</v>
      </c>
      <c r="B402" s="20" t="s">
        <v>89</v>
      </c>
      <c r="C402" s="22" t="s">
        <v>1231</v>
      </c>
      <c r="D402" s="108" t="s">
        <v>144</v>
      </c>
      <c r="E402" s="167">
        <v>210000</v>
      </c>
      <c r="F402" s="166"/>
      <c r="G402" s="171">
        <v>210000</v>
      </c>
      <c r="H402" s="171">
        <v>210000</v>
      </c>
      <c r="I402" s="167">
        <v>210000</v>
      </c>
      <c r="J402" s="167"/>
    </row>
    <row r="403" spans="1:10" ht="18" customHeight="1" x14ac:dyDescent="0.25">
      <c r="A403" s="14">
        <v>215</v>
      </c>
      <c r="B403" s="20" t="s">
        <v>89</v>
      </c>
      <c r="C403" s="22" t="s">
        <v>1232</v>
      </c>
      <c r="D403" s="108" t="s">
        <v>145</v>
      </c>
      <c r="E403" s="167">
        <v>250000</v>
      </c>
      <c r="F403" s="166"/>
      <c r="G403" s="171">
        <v>250000</v>
      </c>
      <c r="H403" s="171">
        <v>250000</v>
      </c>
      <c r="I403" s="167">
        <v>250000</v>
      </c>
      <c r="J403" s="167"/>
    </row>
    <row r="404" spans="1:10" ht="18" customHeight="1" x14ac:dyDescent="0.25">
      <c r="A404" s="14"/>
      <c r="B404" s="20"/>
      <c r="C404" s="22"/>
      <c r="D404" s="108" t="s">
        <v>479</v>
      </c>
      <c r="E404" s="167"/>
      <c r="F404" s="166"/>
      <c r="G404" s="171"/>
      <c r="H404" s="167"/>
      <c r="I404" s="167"/>
      <c r="J404" s="167"/>
    </row>
    <row r="405" spans="1:10" ht="18" customHeight="1" x14ac:dyDescent="0.25">
      <c r="A405" s="14"/>
      <c r="B405" s="20"/>
      <c r="C405" s="22"/>
      <c r="D405" s="108" t="s">
        <v>1364</v>
      </c>
      <c r="E405" s="167"/>
      <c r="F405" s="166"/>
      <c r="G405" s="171">
        <v>213459</v>
      </c>
      <c r="H405" s="167">
        <v>213459</v>
      </c>
      <c r="I405" s="167">
        <v>213459</v>
      </c>
      <c r="J405" s="167"/>
    </row>
    <row r="406" spans="1:10" ht="18" customHeight="1" x14ac:dyDescent="0.25">
      <c r="A406" s="17"/>
      <c r="B406" s="21" t="s">
        <v>1297</v>
      </c>
      <c r="C406" s="19"/>
      <c r="D406" s="21"/>
      <c r="E406" s="168">
        <f>SUM(E400:E404)</f>
        <v>990000</v>
      </c>
      <c r="F406" s="166"/>
      <c r="G406" s="168">
        <f>SUM(G400:G405)</f>
        <v>1203459</v>
      </c>
      <c r="H406" s="168">
        <f>SUM(H400:H405)</f>
        <v>1203459</v>
      </c>
      <c r="I406" s="168">
        <f>SUM(I400:I405)</f>
        <v>1203459</v>
      </c>
      <c r="J406" s="168">
        <f>SUM(J400:J404)</f>
        <v>0</v>
      </c>
    </row>
    <row r="407" spans="1:10" ht="18" customHeight="1" x14ac:dyDescent="0.25">
      <c r="A407" s="14">
        <v>215</v>
      </c>
      <c r="B407" s="20" t="s">
        <v>89</v>
      </c>
      <c r="C407" s="22" t="s">
        <v>1237</v>
      </c>
      <c r="D407" s="108" t="s">
        <v>146</v>
      </c>
      <c r="E407" s="167">
        <v>90000</v>
      </c>
      <c r="F407" s="166"/>
      <c r="G407" s="171"/>
      <c r="H407" s="171"/>
      <c r="I407" s="167"/>
      <c r="J407" s="167"/>
    </row>
    <row r="408" spans="1:10" ht="18" customHeight="1" x14ac:dyDescent="0.25">
      <c r="A408" s="14">
        <v>215</v>
      </c>
      <c r="B408" s="20" t="s">
        <v>89</v>
      </c>
      <c r="C408" s="22" t="s">
        <v>1227</v>
      </c>
      <c r="D408" s="108" t="s">
        <v>147</v>
      </c>
      <c r="E408" s="167">
        <v>78865</v>
      </c>
      <c r="F408" s="166"/>
      <c r="G408" s="171">
        <v>78865</v>
      </c>
      <c r="H408" s="171">
        <v>78865</v>
      </c>
      <c r="I408" s="167">
        <v>78865</v>
      </c>
      <c r="J408" s="167"/>
    </row>
    <row r="409" spans="1:10" ht="18" customHeight="1" x14ac:dyDescent="0.25">
      <c r="A409" s="14">
        <v>215</v>
      </c>
      <c r="B409" s="20" t="s">
        <v>89</v>
      </c>
      <c r="C409" s="22" t="s">
        <v>1238</v>
      </c>
      <c r="D409" s="108" t="s">
        <v>1239</v>
      </c>
      <c r="E409" s="167">
        <v>90575</v>
      </c>
      <c r="F409" s="166"/>
      <c r="G409" s="171">
        <v>83075</v>
      </c>
      <c r="H409" s="171">
        <v>83075</v>
      </c>
      <c r="I409" s="167">
        <v>83075</v>
      </c>
      <c r="J409" s="167"/>
    </row>
    <row r="410" spans="1:10" ht="18" customHeight="1" x14ac:dyDescent="0.25">
      <c r="A410" s="14">
        <v>215</v>
      </c>
      <c r="B410" s="20" t="s">
        <v>89</v>
      </c>
      <c r="C410" s="22" t="s">
        <v>1233</v>
      </c>
      <c r="D410" s="108" t="s">
        <v>148</v>
      </c>
      <c r="E410" s="167">
        <v>154625</v>
      </c>
      <c r="F410" s="166"/>
      <c r="G410" s="171">
        <v>143425</v>
      </c>
      <c r="H410" s="171">
        <v>143425</v>
      </c>
      <c r="I410" s="167">
        <v>143425</v>
      </c>
      <c r="J410" s="167"/>
    </row>
    <row r="411" spans="1:10" ht="18" customHeight="1" x14ac:dyDescent="0.25">
      <c r="A411" s="14">
        <v>215</v>
      </c>
      <c r="B411" s="20" t="s">
        <v>89</v>
      </c>
      <c r="C411" s="22" t="s">
        <v>1234</v>
      </c>
      <c r="D411" s="108" t="s">
        <v>1235</v>
      </c>
      <c r="E411" s="167">
        <v>95445</v>
      </c>
      <c r="F411" s="166"/>
      <c r="G411" s="171">
        <v>87045</v>
      </c>
      <c r="H411" s="171">
        <v>87045</v>
      </c>
      <c r="I411" s="167">
        <v>87045</v>
      </c>
      <c r="J411" s="167"/>
    </row>
    <row r="412" spans="1:10" ht="18" customHeight="1" x14ac:dyDescent="0.25">
      <c r="A412" s="14">
        <v>215</v>
      </c>
      <c r="B412" s="20" t="s">
        <v>89</v>
      </c>
      <c r="C412" s="22" t="s">
        <v>1236</v>
      </c>
      <c r="D412" s="108" t="s">
        <v>149</v>
      </c>
      <c r="E412" s="167">
        <v>243509</v>
      </c>
      <c r="F412" s="166"/>
      <c r="G412" s="171">
        <v>152188</v>
      </c>
      <c r="H412" s="171">
        <v>152188</v>
      </c>
      <c r="I412" s="167">
        <v>152188</v>
      </c>
      <c r="J412" s="167"/>
    </row>
    <row r="413" spans="1:10" ht="18" customHeight="1" x14ac:dyDescent="0.25">
      <c r="A413" s="14">
        <v>215</v>
      </c>
      <c r="B413" s="20" t="s">
        <v>89</v>
      </c>
      <c r="C413" s="22"/>
      <c r="D413" s="211" t="s">
        <v>478</v>
      </c>
      <c r="E413" s="212"/>
      <c r="F413" s="213"/>
      <c r="G413" s="212">
        <v>310026</v>
      </c>
      <c r="H413" s="212">
        <v>310026</v>
      </c>
      <c r="I413" s="167">
        <v>310026</v>
      </c>
      <c r="J413" s="167"/>
    </row>
    <row r="414" spans="1:10" ht="18" customHeight="1" x14ac:dyDescent="0.25">
      <c r="A414" s="17"/>
      <c r="B414" s="21" t="s">
        <v>1298</v>
      </c>
      <c r="C414" s="19"/>
      <c r="D414" s="21"/>
      <c r="E414" s="168">
        <f>SUM(E407:E413)</f>
        <v>753019</v>
      </c>
      <c r="F414" s="166"/>
      <c r="G414" s="168">
        <f>SUM(G407:G413)</f>
        <v>854624</v>
      </c>
      <c r="H414" s="168">
        <f>SUM(H408:H413)</f>
        <v>854624</v>
      </c>
      <c r="I414" s="168">
        <f>SUM(I407:I413)</f>
        <v>854624</v>
      </c>
      <c r="J414" s="168">
        <f>SUM(J407:J413)</f>
        <v>0</v>
      </c>
    </row>
    <row r="415" spans="1:10" ht="18" customHeight="1" x14ac:dyDescent="0.25">
      <c r="A415" s="150"/>
      <c r="B415" s="151" t="s">
        <v>1295</v>
      </c>
      <c r="C415" s="152"/>
      <c r="D415" s="151"/>
      <c r="E415" s="169">
        <f>+(E414+E406)</f>
        <v>1743019</v>
      </c>
      <c r="F415" s="166"/>
      <c r="G415" s="169">
        <f>+(G414+G406)</f>
        <v>2058083</v>
      </c>
      <c r="H415" s="169">
        <f>+(H414+H406)</f>
        <v>2058083</v>
      </c>
      <c r="I415" s="169">
        <f>+(I414+I406)</f>
        <v>2058083</v>
      </c>
      <c r="J415" s="169">
        <f>+(J414+J406)</f>
        <v>0</v>
      </c>
    </row>
    <row r="416" spans="1:10" ht="18" customHeight="1" x14ac:dyDescent="0.25">
      <c r="A416" s="154"/>
      <c r="B416" s="157"/>
      <c r="C416" s="156"/>
      <c r="D416" s="157"/>
      <c r="E416" s="166"/>
      <c r="F416" s="166"/>
      <c r="G416" s="166"/>
      <c r="H416" s="166"/>
      <c r="I416" s="166"/>
      <c r="J416" s="166"/>
    </row>
    <row r="417" spans="1:15" ht="18" customHeight="1" x14ac:dyDescent="0.25">
      <c r="A417" s="17">
        <v>702</v>
      </c>
      <c r="B417" s="108" t="s">
        <v>109</v>
      </c>
      <c r="C417" s="262" t="s">
        <v>1215</v>
      </c>
      <c r="D417" s="211" t="s">
        <v>322</v>
      </c>
      <c r="E417" s="264">
        <f>'[1]EXPENSE 20-21'!$M$387</f>
        <v>32492359</v>
      </c>
      <c r="F417" s="264"/>
      <c r="G417" s="264">
        <v>33547129</v>
      </c>
      <c r="H417" s="264">
        <f>+(E417*1.02)</f>
        <v>33142206.18</v>
      </c>
      <c r="I417" s="264">
        <v>33142206.18</v>
      </c>
      <c r="J417" s="171"/>
    </row>
    <row r="418" spans="1:15" ht="18" customHeight="1" x14ac:dyDescent="0.25">
      <c r="A418" s="17"/>
      <c r="B418" s="108"/>
      <c r="C418" s="262"/>
      <c r="D418" s="211" t="s">
        <v>1368</v>
      </c>
      <c r="E418" s="264"/>
      <c r="F418" s="264"/>
      <c r="G418" s="264"/>
      <c r="H418" s="264">
        <v>404923</v>
      </c>
      <c r="I418" s="264">
        <v>404923</v>
      </c>
      <c r="J418" s="171"/>
    </row>
    <row r="419" spans="1:15" ht="18" customHeight="1" x14ac:dyDescent="0.25">
      <c r="A419" s="150" t="s">
        <v>31</v>
      </c>
      <c r="B419" s="153" t="s">
        <v>1296</v>
      </c>
      <c r="C419" s="152" t="s">
        <v>31</v>
      </c>
      <c r="D419" s="153" t="s">
        <v>31</v>
      </c>
      <c r="E419" s="169">
        <f>SUM(E417)</f>
        <v>32492359</v>
      </c>
      <c r="F419" s="166"/>
      <c r="G419" s="169">
        <f>SUM(G417:G418)</f>
        <v>33547129</v>
      </c>
      <c r="H419" s="169">
        <f>SUM(H417:H418)</f>
        <v>33547129.18</v>
      </c>
      <c r="I419" s="169">
        <f>SUM(I417:I418)</f>
        <v>33547129.18</v>
      </c>
      <c r="J419" s="169">
        <f t="shared" ref="I419:J419" si="29">SUM(J417)</f>
        <v>0</v>
      </c>
      <c r="O419" s="265"/>
    </row>
    <row r="420" spans="1:15" ht="18" customHeight="1" x14ac:dyDescent="0.25">
      <c r="A420" s="154"/>
      <c r="B420" s="157"/>
      <c r="C420" s="156"/>
      <c r="D420" s="157"/>
      <c r="E420" s="166"/>
      <c r="F420" s="166"/>
      <c r="G420" s="166"/>
      <c r="H420" s="166"/>
      <c r="I420" s="166"/>
      <c r="J420" s="166"/>
      <c r="O420" s="67"/>
    </row>
    <row r="421" spans="1:15" ht="18" customHeight="1" x14ac:dyDescent="0.25">
      <c r="A421" s="14"/>
      <c r="B421" s="15"/>
      <c r="C421" s="16"/>
      <c r="D421" s="15"/>
      <c r="E421" s="167"/>
      <c r="F421" s="166"/>
      <c r="G421" s="167"/>
      <c r="H421" s="167"/>
      <c r="I421" s="167"/>
      <c r="J421" s="167"/>
    </row>
    <row r="422" spans="1:15" ht="18" customHeight="1" x14ac:dyDescent="0.25">
      <c r="A422" s="14"/>
      <c r="B422" s="15" t="s">
        <v>397</v>
      </c>
      <c r="C422" s="16"/>
      <c r="D422" s="15"/>
      <c r="E422" s="167">
        <f>+(E419+E415+E398+E384+E366+E358+E334)</f>
        <v>57724225</v>
      </c>
      <c r="F422" s="166"/>
      <c r="G422" s="167">
        <f>+(G419+G415+G398+G384+G366+G358+G334)</f>
        <v>60905545.146873534</v>
      </c>
      <c r="H422" s="167">
        <f>+(H419+H415+H398+H384+H366+H358+H334)</f>
        <v>59180971.880860001</v>
      </c>
      <c r="I422" s="167">
        <f>+(I419+I415+I398+I384+I366+I358+I334)</f>
        <v>59180971.880860001</v>
      </c>
      <c r="J422" s="167">
        <f>+(J419+J415+J398+J384+J366+J358+J334)</f>
        <v>0</v>
      </c>
    </row>
    <row r="423" spans="1:15" ht="18" customHeight="1" x14ac:dyDescent="0.25">
      <c r="G423" s="163" t="s">
        <v>31</v>
      </c>
      <c r="H423" s="163" t="s">
        <v>31</v>
      </c>
    </row>
    <row r="424" spans="1:15" ht="18" customHeight="1" x14ac:dyDescent="0.25"/>
    <row r="425" spans="1:15" ht="18" customHeight="1" x14ac:dyDescent="0.25">
      <c r="E425" s="367"/>
      <c r="F425" s="367"/>
      <c r="G425" s="367"/>
      <c r="H425" s="367"/>
      <c r="I425" s="367"/>
      <c r="J425" s="367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N l 1 h U k p G 3 m m i A A A A 9 Q A A A B I A H A B D b 2 5 m a W c v U G F j a 2 F n Z S 5 4 b W w g o h g A K K A U A A A A A A A A A A A A A A A A A A A A A A A A A A A A h Y + x D o I w G I R f h X S n L X U h 5 K c M r p K Y E I 1 r U y o 0 w o + B Y n k 3 B x / J V x C j q J v j 3 X e X 3 N 2 v N 8 i m t g k u p h 9 s h y m J K C e B Q d 2 V F q u U j O 4 Y x i S T s F X 6 p C o T z G E c k m m w K a m d O y e M e e + p X 9 G u r 5 j g P G K H f F P o 2 r Q q t D g 4 h d q Q T 6 v 8 3 y I S 9 q 8 x U t A 4 p o L P k 4 A t H u Q W v 1 z M 7 E l / T F i P j R t 7 I w 2 G u w L Y I o G 9 L 8 g H U E s D B B Q A A g A I A D Z d Y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2 X W F S K I p H u A 4 A A A A R A A A A E w A c A E Z v c m 1 1 b G F z L 1 N l Y 3 R p b 2 4 x L m 0 g o h g A K K A U A A A A A A A A A A A A A A A A A A A A A A A A A A A A K 0 5 N L s n M z 1 M I h t C G 1 g B Q S w E C L Q A U A A I A C A A 2 X W F S S k b e a a I A A A D 1 A A A A E g A A A A A A A A A A A A A A A A A A A A A A Q 2 9 u Z m l n L 1 B h Y 2 t h Z 2 U u e G 1 s U E s B A i 0 A F A A C A A g A N l 1 h U g / K 6 a u k A A A A 6 Q A A A B M A A A A A A A A A A A A A A A A A 7 g A A A F t D b 2 5 0 Z W 5 0 X 1 R 5 c G V z X S 5 4 b W x Q S w E C L Q A U A A I A C A A 2 X W F S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l 6 j R s B q 3 0 K I I q r I U t R p V A A A A A A C A A A A A A A D Z g A A w A A A A B A A A A C v n Z 6 w 0 D 6 t c Q k X g s D P A U P N A A A A A A S A A A C g A A A A E A A A A M P 1 U s B W 6 s q v 4 8 0 c H 4 e T f 4 F Q A A A A f F w c e 3 K 4 N V N i a / a g C u O u 6 H 4 y x K T z V H 3 m Z y t U s r f a G b e e l M A w Y h r 4 I 7 a i u o L S G L 5 5 7 7 r d g H 8 4 / y u U U / 5 c G 9 2 L 4 U h x M M d 8 j s j G f 6 X 7 q x 8 K R q s U A A A A U 6 z l k i W Z i D p s Q p A D R k X / y 7 q b l 0 8 = < / D a t a M a s h u p > 
</file>

<file path=customXml/itemProps1.xml><?xml version="1.0" encoding="utf-8"?>
<ds:datastoreItem xmlns:ds="http://schemas.openxmlformats.org/officeDocument/2006/customXml" ds:itemID="{39B6C39F-9660-434B-BBB4-5309AE0E5C6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Budget Cover</vt:lpstr>
      <vt:lpstr>Budget Summary</vt:lpstr>
      <vt:lpstr>Property Tax</vt:lpstr>
      <vt:lpstr>Fund Balance</vt:lpstr>
      <vt:lpstr>Debt Service</vt:lpstr>
      <vt:lpstr>Budget Graphic Revenue</vt:lpstr>
      <vt:lpstr>Revenue</vt:lpstr>
      <vt:lpstr>Budget Graphic Expenses</vt:lpstr>
      <vt:lpstr>Expenses</vt:lpstr>
      <vt:lpstr>Capital Plan</vt:lpstr>
      <vt:lpstr>Salary and Benefits Master</vt:lpstr>
      <vt:lpstr>Salary Breakouts</vt:lpstr>
      <vt:lpstr>Sheet1</vt:lpstr>
      <vt:lpstr>Utilities Breakout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Miller</dc:creator>
  <cp:lastModifiedBy>Kurt Miller</cp:lastModifiedBy>
  <cp:lastPrinted>2021-04-21T13:13:58Z</cp:lastPrinted>
  <dcterms:created xsi:type="dcterms:W3CDTF">2021-01-25T15:15:24Z</dcterms:created>
  <dcterms:modified xsi:type="dcterms:W3CDTF">2021-04-22T13:24:01Z</dcterms:modified>
</cp:coreProperties>
</file>